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480" yWindow="100" windowWidth="30300" windowHeight="13140"/>
  </bookViews>
  <sheets>
    <sheet name="FR" sheetId="1" r:id="rId1"/>
    <sheet name="Définitions" sheetId="3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31" i="1" l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E31" i="1"/>
  <c r="AA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E21" i="1"/>
  <c r="D12" i="1"/>
  <c r="D28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K60" i="1"/>
  <c r="L7" i="1"/>
  <c r="M60" i="1"/>
  <c r="M7" i="1"/>
  <c r="N60" i="1"/>
  <c r="N7" i="1"/>
  <c r="O60" i="1"/>
  <c r="O7" i="1"/>
  <c r="P60" i="1"/>
  <c r="P7" i="1"/>
  <c r="Q60" i="1"/>
  <c r="Q7" i="1"/>
  <c r="R60" i="1"/>
  <c r="R7" i="1"/>
  <c r="S60" i="1"/>
  <c r="S7" i="1"/>
  <c r="T60" i="1"/>
  <c r="T7" i="1"/>
  <c r="U60" i="1"/>
  <c r="U7" i="1"/>
  <c r="V60" i="1"/>
  <c r="V7" i="1"/>
  <c r="W60" i="1"/>
  <c r="W7" i="1"/>
  <c r="X60" i="1"/>
  <c r="X7" i="1"/>
  <c r="Y60" i="1"/>
  <c r="Y7" i="1"/>
  <c r="Z60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E18" i="1"/>
  <c r="F18" i="1"/>
  <c r="G18" i="1"/>
  <c r="E19" i="1"/>
  <c r="F19" i="1"/>
  <c r="G19" i="1"/>
  <c r="G13" i="1"/>
  <c r="G24" i="1"/>
  <c r="G25" i="1"/>
  <c r="E26" i="1"/>
  <c r="F26" i="1"/>
  <c r="G26" i="1"/>
  <c r="G27" i="1"/>
  <c r="F12" i="1"/>
  <c r="G12" i="1"/>
  <c r="G28" i="1"/>
  <c r="D32" i="1"/>
  <c r="E32" i="1"/>
  <c r="F32" i="1"/>
  <c r="G32" i="1"/>
  <c r="G33" i="1"/>
  <c r="G45" i="1"/>
  <c r="F10" i="1"/>
  <c r="G10" i="1"/>
  <c r="G11" i="1"/>
  <c r="G16" i="1"/>
  <c r="G46" i="1"/>
  <c r="G50" i="1"/>
  <c r="H10" i="1"/>
  <c r="H11" i="1"/>
  <c r="H12" i="1"/>
  <c r="H13" i="1"/>
  <c r="H16" i="1"/>
  <c r="H18" i="1"/>
  <c r="H19" i="1"/>
  <c r="H24" i="1"/>
  <c r="H25" i="1"/>
  <c r="H26" i="1"/>
  <c r="H27" i="1"/>
  <c r="H28" i="1"/>
  <c r="H32" i="1"/>
  <c r="H33" i="1"/>
  <c r="H45" i="1"/>
  <c r="H46" i="1"/>
  <c r="H50" i="1"/>
  <c r="I10" i="1"/>
  <c r="I11" i="1"/>
  <c r="I12" i="1"/>
  <c r="I13" i="1"/>
  <c r="I16" i="1"/>
  <c r="I18" i="1"/>
  <c r="I19" i="1"/>
  <c r="I20" i="1"/>
  <c r="I24" i="1"/>
  <c r="I25" i="1"/>
  <c r="I26" i="1"/>
  <c r="I27" i="1"/>
  <c r="I28" i="1"/>
  <c r="I32" i="1"/>
  <c r="I33" i="1"/>
  <c r="I45" i="1"/>
  <c r="I46" i="1"/>
  <c r="I50" i="1"/>
  <c r="J10" i="1"/>
  <c r="J11" i="1"/>
  <c r="J12" i="1"/>
  <c r="J13" i="1"/>
  <c r="J16" i="1"/>
  <c r="J18" i="1"/>
  <c r="J19" i="1"/>
  <c r="J20" i="1"/>
  <c r="J24" i="1"/>
  <c r="J25" i="1"/>
  <c r="J26" i="1"/>
  <c r="J27" i="1"/>
  <c r="J28" i="1"/>
  <c r="J32" i="1"/>
  <c r="J33" i="1"/>
  <c r="J45" i="1"/>
  <c r="J46" i="1"/>
  <c r="J50" i="1"/>
  <c r="K10" i="1"/>
  <c r="K11" i="1"/>
  <c r="K12" i="1"/>
  <c r="K13" i="1"/>
  <c r="K16" i="1"/>
  <c r="K18" i="1"/>
  <c r="K19" i="1"/>
  <c r="K20" i="1"/>
  <c r="K24" i="1"/>
  <c r="K25" i="1"/>
  <c r="K26" i="1"/>
  <c r="K27" i="1"/>
  <c r="K28" i="1"/>
  <c r="K32" i="1"/>
  <c r="K33" i="1"/>
  <c r="K45" i="1"/>
  <c r="K46" i="1"/>
  <c r="K50" i="1"/>
  <c r="L10" i="1"/>
  <c r="L11" i="1"/>
  <c r="L12" i="1"/>
  <c r="L13" i="1"/>
  <c r="L16" i="1"/>
  <c r="L18" i="1"/>
  <c r="L19" i="1"/>
  <c r="L20" i="1"/>
  <c r="L24" i="1"/>
  <c r="L25" i="1"/>
  <c r="L26" i="1"/>
  <c r="L27" i="1"/>
  <c r="L28" i="1"/>
  <c r="L32" i="1"/>
  <c r="L33" i="1"/>
  <c r="L45" i="1"/>
  <c r="L46" i="1"/>
  <c r="L50" i="1"/>
  <c r="M10" i="1"/>
  <c r="M11" i="1"/>
  <c r="M12" i="1"/>
  <c r="M13" i="1"/>
  <c r="M16" i="1"/>
  <c r="M18" i="1"/>
  <c r="M19" i="1"/>
  <c r="M20" i="1"/>
  <c r="M24" i="1"/>
  <c r="M25" i="1"/>
  <c r="M26" i="1"/>
  <c r="M27" i="1"/>
  <c r="M28" i="1"/>
  <c r="M32" i="1"/>
  <c r="M33" i="1"/>
  <c r="M45" i="1"/>
  <c r="M46" i="1"/>
  <c r="M50" i="1"/>
  <c r="N10" i="1"/>
  <c r="N11" i="1"/>
  <c r="N12" i="1"/>
  <c r="N13" i="1"/>
  <c r="N16" i="1"/>
  <c r="N18" i="1"/>
  <c r="N19" i="1"/>
  <c r="N20" i="1"/>
  <c r="N24" i="1"/>
  <c r="N25" i="1"/>
  <c r="N26" i="1"/>
  <c r="N27" i="1"/>
  <c r="N28" i="1"/>
  <c r="N32" i="1"/>
  <c r="N33" i="1"/>
  <c r="N45" i="1"/>
  <c r="N46" i="1"/>
  <c r="N50" i="1"/>
  <c r="O10" i="1"/>
  <c r="O11" i="1"/>
  <c r="O12" i="1"/>
  <c r="O13" i="1"/>
  <c r="O16" i="1"/>
  <c r="O18" i="1"/>
  <c r="O19" i="1"/>
  <c r="O20" i="1"/>
  <c r="O24" i="1"/>
  <c r="O25" i="1"/>
  <c r="O26" i="1"/>
  <c r="O27" i="1"/>
  <c r="O28" i="1"/>
  <c r="O32" i="1"/>
  <c r="O33" i="1"/>
  <c r="O45" i="1"/>
  <c r="O46" i="1"/>
  <c r="O50" i="1"/>
  <c r="P10" i="1"/>
  <c r="P11" i="1"/>
  <c r="P12" i="1"/>
  <c r="P13" i="1"/>
  <c r="P16" i="1"/>
  <c r="P18" i="1"/>
  <c r="P19" i="1"/>
  <c r="P20" i="1"/>
  <c r="P24" i="1"/>
  <c r="P25" i="1"/>
  <c r="P26" i="1"/>
  <c r="P27" i="1"/>
  <c r="P28" i="1"/>
  <c r="P32" i="1"/>
  <c r="P33" i="1"/>
  <c r="P45" i="1"/>
  <c r="P46" i="1"/>
  <c r="P50" i="1"/>
  <c r="Q10" i="1"/>
  <c r="Q11" i="1"/>
  <c r="Q12" i="1"/>
  <c r="Q13" i="1"/>
  <c r="Q16" i="1"/>
  <c r="Q18" i="1"/>
  <c r="Q19" i="1"/>
  <c r="Q20" i="1"/>
  <c r="Q24" i="1"/>
  <c r="Q25" i="1"/>
  <c r="Q26" i="1"/>
  <c r="Q27" i="1"/>
  <c r="Q28" i="1"/>
  <c r="Q32" i="1"/>
  <c r="Q33" i="1"/>
  <c r="Q45" i="1"/>
  <c r="Q46" i="1"/>
  <c r="Q50" i="1"/>
  <c r="R10" i="1"/>
  <c r="R11" i="1"/>
  <c r="R12" i="1"/>
  <c r="R13" i="1"/>
  <c r="R16" i="1"/>
  <c r="R18" i="1"/>
  <c r="R19" i="1"/>
  <c r="R20" i="1"/>
  <c r="R24" i="1"/>
  <c r="R25" i="1"/>
  <c r="R26" i="1"/>
  <c r="R27" i="1"/>
  <c r="R28" i="1"/>
  <c r="R32" i="1"/>
  <c r="R33" i="1"/>
  <c r="R45" i="1"/>
  <c r="R46" i="1"/>
  <c r="R50" i="1"/>
  <c r="S10" i="1"/>
  <c r="S11" i="1"/>
  <c r="S12" i="1"/>
  <c r="S13" i="1"/>
  <c r="S16" i="1"/>
  <c r="S18" i="1"/>
  <c r="S19" i="1"/>
  <c r="S20" i="1"/>
  <c r="S24" i="1"/>
  <c r="S25" i="1"/>
  <c r="S26" i="1"/>
  <c r="S27" i="1"/>
  <c r="S28" i="1"/>
  <c r="S32" i="1"/>
  <c r="S33" i="1"/>
  <c r="S45" i="1"/>
  <c r="S46" i="1"/>
  <c r="S50" i="1"/>
  <c r="T10" i="1"/>
  <c r="T11" i="1"/>
  <c r="T13" i="1"/>
  <c r="T14" i="1"/>
  <c r="T12" i="1"/>
  <c r="T16" i="1"/>
  <c r="T18" i="1"/>
  <c r="T19" i="1"/>
  <c r="T24" i="1"/>
  <c r="T25" i="1"/>
  <c r="T27" i="1"/>
  <c r="T20" i="1"/>
  <c r="T26" i="1"/>
  <c r="T28" i="1"/>
  <c r="T32" i="1"/>
  <c r="T33" i="1"/>
  <c r="T45" i="1"/>
  <c r="T46" i="1"/>
  <c r="T50" i="1"/>
  <c r="U10" i="1"/>
  <c r="U11" i="1"/>
  <c r="U13" i="1"/>
  <c r="U14" i="1"/>
  <c r="U12" i="1"/>
  <c r="U16" i="1"/>
  <c r="U18" i="1"/>
  <c r="U19" i="1"/>
  <c r="U24" i="1"/>
  <c r="U25" i="1"/>
  <c r="U27" i="1"/>
  <c r="U20" i="1"/>
  <c r="U26" i="1"/>
  <c r="U28" i="1"/>
  <c r="U32" i="1"/>
  <c r="U33" i="1"/>
  <c r="U45" i="1"/>
  <c r="U46" i="1"/>
  <c r="U50" i="1"/>
  <c r="V10" i="1"/>
  <c r="V11" i="1"/>
  <c r="V13" i="1"/>
  <c r="V14" i="1"/>
  <c r="V12" i="1"/>
  <c r="V16" i="1"/>
  <c r="V18" i="1"/>
  <c r="V19" i="1"/>
  <c r="V24" i="1"/>
  <c r="V25" i="1"/>
  <c r="V27" i="1"/>
  <c r="V20" i="1"/>
  <c r="V26" i="1"/>
  <c r="V28" i="1"/>
  <c r="V32" i="1"/>
  <c r="V33" i="1"/>
  <c r="V45" i="1"/>
  <c r="V46" i="1"/>
  <c r="V50" i="1"/>
  <c r="W10" i="1"/>
  <c r="W11" i="1"/>
  <c r="W13" i="1"/>
  <c r="W14" i="1"/>
  <c r="W12" i="1"/>
  <c r="W16" i="1"/>
  <c r="W18" i="1"/>
  <c r="W19" i="1"/>
  <c r="W24" i="1"/>
  <c r="W25" i="1"/>
  <c r="W27" i="1"/>
  <c r="W20" i="1"/>
  <c r="W26" i="1"/>
  <c r="W28" i="1"/>
  <c r="W32" i="1"/>
  <c r="W33" i="1"/>
  <c r="W45" i="1"/>
  <c r="W46" i="1"/>
  <c r="W50" i="1"/>
  <c r="X10" i="1"/>
  <c r="X11" i="1"/>
  <c r="X13" i="1"/>
  <c r="X14" i="1"/>
  <c r="X12" i="1"/>
  <c r="X16" i="1"/>
  <c r="X18" i="1"/>
  <c r="X19" i="1"/>
  <c r="X24" i="1"/>
  <c r="X25" i="1"/>
  <c r="X27" i="1"/>
  <c r="X20" i="1"/>
  <c r="X26" i="1"/>
  <c r="X28" i="1"/>
  <c r="X32" i="1"/>
  <c r="X33" i="1"/>
  <c r="X45" i="1"/>
  <c r="X46" i="1"/>
  <c r="X50" i="1"/>
  <c r="Y10" i="1"/>
  <c r="Y11" i="1"/>
  <c r="Y13" i="1"/>
  <c r="Y14" i="1"/>
  <c r="Y12" i="1"/>
  <c r="Y16" i="1"/>
  <c r="Y18" i="1"/>
  <c r="Y19" i="1"/>
  <c r="Y24" i="1"/>
  <c r="Y25" i="1"/>
  <c r="Y27" i="1"/>
  <c r="Y20" i="1"/>
  <c r="Y26" i="1"/>
  <c r="Y28" i="1"/>
  <c r="Y32" i="1"/>
  <c r="Y33" i="1"/>
  <c r="Y45" i="1"/>
  <c r="Y46" i="1"/>
  <c r="Y50" i="1"/>
  <c r="Z10" i="1"/>
  <c r="Z11" i="1"/>
  <c r="Z13" i="1"/>
  <c r="Z14" i="1"/>
  <c r="Z12" i="1"/>
  <c r="Z16" i="1"/>
  <c r="Z18" i="1"/>
  <c r="Z19" i="1"/>
  <c r="Z24" i="1"/>
  <c r="Z25" i="1"/>
  <c r="Z27" i="1"/>
  <c r="Z20" i="1"/>
  <c r="Z26" i="1"/>
  <c r="Z28" i="1"/>
  <c r="Z32" i="1"/>
  <c r="Z33" i="1"/>
  <c r="Z45" i="1"/>
  <c r="Z46" i="1"/>
  <c r="Z7" i="1"/>
  <c r="Z50" i="1"/>
  <c r="B16" i="1"/>
  <c r="B45" i="1"/>
  <c r="B46" i="1"/>
  <c r="B50" i="1"/>
  <c r="C16" i="1"/>
  <c r="C18" i="1"/>
  <c r="C45" i="1"/>
  <c r="C46" i="1"/>
  <c r="C50" i="1"/>
  <c r="D10" i="1"/>
  <c r="D11" i="1"/>
  <c r="D14" i="1"/>
  <c r="D16" i="1"/>
  <c r="D20" i="1"/>
  <c r="D24" i="1"/>
  <c r="D25" i="1"/>
  <c r="D27" i="1"/>
  <c r="D45" i="1"/>
  <c r="D46" i="1"/>
  <c r="D50" i="1"/>
  <c r="E10" i="1"/>
  <c r="E11" i="1"/>
  <c r="E12" i="1"/>
  <c r="E14" i="1"/>
  <c r="E16" i="1"/>
  <c r="E20" i="1"/>
  <c r="E24" i="1"/>
  <c r="E25" i="1"/>
  <c r="E27" i="1"/>
  <c r="E28" i="1"/>
  <c r="E45" i="1"/>
  <c r="E46" i="1"/>
  <c r="E50" i="1"/>
  <c r="F11" i="1"/>
  <c r="F16" i="1"/>
  <c r="F24" i="1"/>
  <c r="F25" i="1"/>
  <c r="F27" i="1"/>
  <c r="F28" i="1"/>
  <c r="F45" i="1"/>
  <c r="F46" i="1"/>
  <c r="F50" i="1"/>
  <c r="AA50" i="1"/>
  <c r="AA11" i="1"/>
  <c r="AA12" i="1"/>
  <c r="AA13" i="1"/>
  <c r="AA14" i="1"/>
  <c r="AA15" i="1"/>
  <c r="AA16" i="1"/>
  <c r="AA17" i="1"/>
  <c r="AA18" i="1"/>
  <c r="AA19" i="1"/>
  <c r="AA20" i="1"/>
  <c r="AA24" i="1"/>
  <c r="AA25" i="1"/>
  <c r="AA26" i="1"/>
  <c r="AA27" i="1"/>
  <c r="AA28" i="1"/>
  <c r="AA32" i="1"/>
  <c r="AA33" i="1"/>
  <c r="AA34" i="1"/>
  <c r="AA36" i="1"/>
  <c r="AA38" i="1"/>
  <c r="AA39" i="1"/>
  <c r="AA40" i="1"/>
  <c r="AA41" i="1"/>
  <c r="AA43" i="1"/>
  <c r="AA44" i="1"/>
  <c r="AA45" i="1"/>
  <c r="AA46" i="1"/>
  <c r="AA10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G70" i="1"/>
  <c r="H70" i="1"/>
  <c r="I70" i="1"/>
  <c r="J70" i="1"/>
  <c r="K70" i="1"/>
  <c r="G60" i="1"/>
  <c r="H60" i="1"/>
  <c r="I60" i="1"/>
  <c r="J60" i="1"/>
  <c r="L60" i="1"/>
  <c r="F70" i="1"/>
  <c r="E70" i="1"/>
  <c r="D70" i="1"/>
  <c r="B70" i="1"/>
  <c r="C70" i="1"/>
  <c r="F60" i="1"/>
  <c r="E60" i="1"/>
  <c r="D60" i="1"/>
  <c r="C60" i="1"/>
  <c r="B60" i="1"/>
</calcChain>
</file>

<file path=xl/sharedStrings.xml><?xml version="1.0" encoding="utf-8"?>
<sst xmlns="http://schemas.openxmlformats.org/spreadsheetml/2006/main" count="63" uniqueCount="59">
  <si>
    <t>CALCUL DU DEFICIT D'AUTOFINANCEMENT D'UN PROJET</t>
  </si>
  <si>
    <t>Année de départ de la période de référence = 1ère année de mise en œuvre du projet</t>
  </si>
  <si>
    <t>Recettes nettes</t>
  </si>
  <si>
    <t>n</t>
  </si>
  <si>
    <t>Total</t>
  </si>
  <si>
    <t>Total des recettes (1)</t>
  </si>
  <si>
    <t xml:space="preserve">Total des coûts d'exploitation et des coûts de remplacement (2) </t>
  </si>
  <si>
    <t>RECETTES NETTES</t>
  </si>
  <si>
    <t>Actualisation des recettes</t>
  </si>
  <si>
    <t xml:space="preserve">Taux d'actualisation </t>
  </si>
  <si>
    <t>Recettes nettes actualisées</t>
  </si>
  <si>
    <t>Coûts d'investissement éligibles</t>
  </si>
  <si>
    <t>Actualisation des coûts d'investissement éligibles</t>
  </si>
  <si>
    <t>Coûts d'investissement éligibles actualisés</t>
  </si>
  <si>
    <t>Coûts d'investissement non éligibles</t>
  </si>
  <si>
    <t>Coûts d'investissement non-éligibles</t>
  </si>
  <si>
    <t>Actualisation des coûts d'investissement non-éligibles</t>
  </si>
  <si>
    <t>Coûts d'investissement non-éligibles actualisés</t>
  </si>
  <si>
    <t>Déficit d'autofinancement</t>
  </si>
  <si>
    <t>part de l'investissement non lié au projet</t>
  </si>
  <si>
    <t>coût d'investissement non-éligible</t>
  </si>
  <si>
    <t>part de l'investissement lié au projet</t>
  </si>
  <si>
    <t>coût d'investissement éligible</t>
  </si>
  <si>
    <t>uniquement pour le projet concerné</t>
  </si>
  <si>
    <t>coût d'exploitation</t>
  </si>
  <si>
    <t>recette</t>
  </si>
  <si>
    <t>Définitions</t>
  </si>
  <si>
    <t>Ex: redevance, loyer… Pas subsides</t>
  </si>
  <si>
    <t>Ex: électricité, main d'œuvre… Pas les amortissements</t>
  </si>
  <si>
    <t>Ex: partie d'un bâtiment servant au projet</t>
  </si>
  <si>
    <t>Ex: partie d'un bâtiment affecté à une activité annexe</t>
  </si>
  <si>
    <t>Recette Pépinière</t>
  </si>
  <si>
    <t>Rémunérations 1TP (niveau bachelier)</t>
  </si>
  <si>
    <t>Energie (eau, gaz, éléctricité)</t>
  </si>
  <si>
    <t>Entretien machines (ascenseurs, airco,…)</t>
  </si>
  <si>
    <t>Assurance</t>
  </si>
  <si>
    <t>Consommables</t>
  </si>
  <si>
    <t>Frais marketing</t>
  </si>
  <si>
    <t>Honoraires consultants</t>
  </si>
  <si>
    <t>Service Conseils pépinière</t>
  </si>
  <si>
    <t>Rémunération service Catering(via CDD ou intérim)</t>
  </si>
  <si>
    <t>Achats de marchandises catering</t>
  </si>
  <si>
    <t>Abonnement Fibre optique</t>
  </si>
  <si>
    <t>Location de linge</t>
  </si>
  <si>
    <t>SABAM/Rémunération équitable</t>
  </si>
  <si>
    <t>Taxes régionales/communales</t>
  </si>
  <si>
    <t>Téléphonie</t>
  </si>
  <si>
    <t>Achat petit matériel</t>
  </si>
  <si>
    <t>Coûts pépinière</t>
  </si>
  <si>
    <t>Coûts location/catering</t>
  </si>
  <si>
    <t>Coûts généraux</t>
  </si>
  <si>
    <t xml:space="preserve">Nettoyage salle </t>
  </si>
  <si>
    <t>Apport Marivaux garantit</t>
  </si>
  <si>
    <t>Rémunération 1TP (niveau Master A1)</t>
  </si>
  <si>
    <t>Loyer bâtiment</t>
  </si>
  <si>
    <t>Recette location privé/publique</t>
  </si>
  <si>
    <t>Recette Catering Privatisationprivé publique</t>
  </si>
  <si>
    <t>Nettoyage pépinière (1x/semaine)</t>
  </si>
  <si>
    <t>Entretien parties communes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</si>
</sst>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2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left"/>
    </xf>
    <xf numFmtId="0" fontId="6" fillId="0" borderId="0" xfId="0" applyFont="1" applyFill="1"/>
    <xf numFmtId="0" fontId="3" fillId="0" borderId="0" xfId="0" applyFont="1" applyAlignment="1">
      <alignment wrapText="1"/>
    </xf>
    <xf numFmtId="0" fontId="7" fillId="0" borderId="0" xfId="0" applyFont="1"/>
    <xf numFmtId="0" fontId="4" fillId="0" borderId="0" xfId="0" applyFont="1"/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8" fillId="0" borderId="5" xfId="0" applyNumberFormat="1" applyFont="1" applyBorder="1" applyAlignment="1">
      <alignment horizontal="right" wrapText="1"/>
    </xf>
    <xf numFmtId="4" fontId="0" fillId="2" borderId="1" xfId="0" applyNumberFormat="1" applyFill="1" applyBorder="1"/>
    <xf numFmtId="4" fontId="4" fillId="0" borderId="6" xfId="0" applyNumberFormat="1" applyFont="1" applyBorder="1"/>
    <xf numFmtId="4" fontId="0" fillId="0" borderId="0" xfId="0" applyNumberFormat="1"/>
    <xf numFmtId="44" fontId="1" fillId="2" borderId="1" xfId="2" applyFont="1" applyFill="1" applyBorder="1"/>
    <xf numFmtId="4" fontId="0" fillId="2" borderId="7" xfId="0" applyNumberFormat="1" applyFill="1" applyBorder="1"/>
    <xf numFmtId="4" fontId="4" fillId="0" borderId="5" xfId="0" applyNumberFormat="1" applyFont="1" applyBorder="1" applyAlignment="1">
      <alignment wrapText="1"/>
    </xf>
    <xf numFmtId="4" fontId="4" fillId="0" borderId="8" xfId="0" applyNumberFormat="1" applyFont="1" applyBorder="1"/>
    <xf numFmtId="4" fontId="4" fillId="0" borderId="0" xfId="0" applyNumberFormat="1" applyFont="1"/>
    <xf numFmtId="4" fontId="4" fillId="0" borderId="1" xfId="0" applyNumberFormat="1" applyFont="1" applyBorder="1"/>
    <xf numFmtId="4" fontId="4" fillId="0" borderId="9" xfId="0" applyNumberFormat="1" applyFont="1" applyBorder="1" applyAlignment="1">
      <alignment wrapText="1"/>
    </xf>
    <xf numFmtId="4" fontId="4" fillId="0" borderId="10" xfId="0" applyNumberFormat="1" applyFont="1" applyBorder="1"/>
    <xf numFmtId="0" fontId="10" fillId="0" borderId="0" xfId="0" applyFont="1" applyAlignment="1">
      <alignment wrapText="1"/>
    </xf>
    <xf numFmtId="0" fontId="0" fillId="0" borderId="2" xfId="0" applyBorder="1" applyAlignment="1">
      <alignment wrapText="1"/>
    </xf>
    <xf numFmtId="4" fontId="0" fillId="0" borderId="3" xfId="0" applyNumberFormat="1" applyBorder="1"/>
    <xf numFmtId="0" fontId="0" fillId="0" borderId="9" xfId="0" applyBorder="1" applyAlignment="1">
      <alignment wrapText="1"/>
    </xf>
    <xf numFmtId="4" fontId="0" fillId="0" borderId="10" xfId="0" applyNumberFormat="1" applyBorder="1"/>
    <xf numFmtId="0" fontId="4" fillId="0" borderId="3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4" fontId="2" fillId="2" borderId="10" xfId="0" applyNumberFormat="1" applyFont="1" applyFill="1" applyBorder="1"/>
    <xf numFmtId="0" fontId="0" fillId="0" borderId="11" xfId="0" applyBorder="1" applyAlignment="1">
      <alignment wrapText="1"/>
    </xf>
    <xf numFmtId="10" fontId="4" fillId="4" borderId="12" xfId="0" applyNumberFormat="1" applyFont="1" applyFill="1" applyBorder="1"/>
    <xf numFmtId="10" fontId="4" fillId="0" borderId="0" xfId="0" applyNumberFormat="1" applyFont="1" applyFill="1" applyBorder="1"/>
    <xf numFmtId="164" fontId="1" fillId="0" borderId="0" xfId="1" applyFont="1"/>
    <xf numFmtId="0" fontId="11" fillId="0" borderId="0" xfId="0" applyFont="1"/>
    <xf numFmtId="0" fontId="12" fillId="0" borderId="0" xfId="0" applyFont="1"/>
    <xf numFmtId="0" fontId="0" fillId="0" borderId="0" xfId="0" applyFill="1" applyAlignment="1"/>
    <xf numFmtId="4" fontId="0" fillId="2" borderId="13" xfId="0" applyNumberFormat="1" applyFill="1" applyBorder="1"/>
    <xf numFmtId="4" fontId="10" fillId="0" borderId="5" xfId="0" applyNumberFormat="1" applyFont="1" applyBorder="1" applyAlignment="1">
      <alignment horizontal="right" wrapText="1"/>
    </xf>
    <xf numFmtId="4" fontId="13" fillId="0" borderId="5" xfId="0" applyNumberFormat="1" applyFont="1" applyBorder="1" applyAlignment="1">
      <alignment horizontal="right" wrapText="1"/>
    </xf>
    <xf numFmtId="4" fontId="8" fillId="0" borderId="5" xfId="0" applyNumberFormat="1" applyFont="1" applyBorder="1" applyAlignment="1">
      <alignment horizontal="left" wrapText="1"/>
    </xf>
    <xf numFmtId="0" fontId="0" fillId="0" borderId="0" xfId="0" applyFill="1" applyAlignment="1"/>
    <xf numFmtId="0" fontId="0" fillId="0" borderId="0" xfId="0" applyFill="1" applyAlignment="1"/>
    <xf numFmtId="4" fontId="4" fillId="0" borderId="14" xfId="0" applyNumberFormat="1" applyFont="1" applyBorder="1"/>
    <xf numFmtId="4" fontId="0" fillId="0" borderId="0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4" fillId="0" borderId="15" xfId="0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0" fontId="0" fillId="0" borderId="0" xfId="0" applyFill="1" applyAlignment="1"/>
  </cellXfs>
  <cellStyles count="3">
    <cellStyle name="Euro" xfId="2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tabSelected="1" topLeftCell="E5" workbookViewId="0">
      <selection activeCell="E5" sqref="E5"/>
    </sheetView>
  </sheetViews>
  <sheetFormatPr baseColWidth="10" defaultColWidth="8.83203125" defaultRowHeight="14" x14ac:dyDescent="0"/>
  <cols>
    <col min="1" max="1" width="48.1640625" style="13" customWidth="1"/>
    <col min="2" max="2" width="12.83203125" bestFit="1" customWidth="1"/>
    <col min="3" max="3" width="13" customWidth="1"/>
    <col min="4" max="26" width="13.5" customWidth="1"/>
    <col min="27" max="27" width="13.33203125" style="8" bestFit="1" customWidth="1"/>
    <col min="28" max="256" width="11.5" customWidth="1"/>
  </cols>
  <sheetData>
    <row r="1" spans="1:27" s="1" customFormat="1" ht="25.5" customHeight="1">
      <c r="A1" s="55" t="s">
        <v>0</v>
      </c>
      <c r="B1" s="56"/>
      <c r="C1" s="56"/>
      <c r="D1" s="56"/>
      <c r="E1" s="56"/>
      <c r="F1" s="56"/>
      <c r="G1" s="43"/>
      <c r="H1" s="43"/>
      <c r="I1" s="43"/>
      <c r="J1" s="43"/>
      <c r="K1" s="43"/>
      <c r="L1" s="48"/>
      <c r="M1" s="48"/>
      <c r="N1" s="48"/>
      <c r="O1" s="48"/>
      <c r="P1" s="48"/>
      <c r="Q1" s="48"/>
      <c r="R1" s="48"/>
      <c r="S1" s="48"/>
      <c r="T1" s="48"/>
      <c r="U1" s="49"/>
      <c r="V1" s="49"/>
      <c r="W1" s="49"/>
      <c r="X1" s="49"/>
      <c r="Y1" s="49"/>
      <c r="Z1" s="49"/>
      <c r="AA1" s="2"/>
    </row>
    <row r="2" spans="1:27" s="1" customFormat="1">
      <c r="A2" s="3"/>
      <c r="AA2" s="2"/>
    </row>
    <row r="3" spans="1:27" s="5" customFormat="1" ht="17.2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"/>
    </row>
    <row r="4" spans="1:27" s="1" customFormat="1">
      <c r="A4" s="3"/>
      <c r="AA4" s="2"/>
    </row>
    <row r="5" spans="1:27" ht="17">
      <c r="A5" s="6" t="s">
        <v>2</v>
      </c>
      <c r="B5" s="7"/>
    </row>
    <row r="6" spans="1:27" ht="17">
      <c r="A6" s="6"/>
    </row>
    <row r="7" spans="1:27" s="12" customFormat="1">
      <c r="A7" s="9" t="s">
        <v>3</v>
      </c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10">
        <f>K7+1</f>
        <v>11</v>
      </c>
      <c r="M7" s="10">
        <f t="shared" ref="M7:Z7" si="0">L7+1</f>
        <v>12</v>
      </c>
      <c r="N7" s="10">
        <f t="shared" si="0"/>
        <v>13</v>
      </c>
      <c r="O7" s="10">
        <f t="shared" si="0"/>
        <v>14</v>
      </c>
      <c r="P7" s="10">
        <f t="shared" si="0"/>
        <v>15</v>
      </c>
      <c r="Q7" s="10">
        <f t="shared" si="0"/>
        <v>16</v>
      </c>
      <c r="R7" s="10">
        <f t="shared" si="0"/>
        <v>17</v>
      </c>
      <c r="S7" s="10">
        <f t="shared" si="0"/>
        <v>18</v>
      </c>
      <c r="T7" s="10">
        <f t="shared" si="0"/>
        <v>19</v>
      </c>
      <c r="U7" s="10">
        <f t="shared" si="0"/>
        <v>20</v>
      </c>
      <c r="V7" s="10">
        <f t="shared" si="0"/>
        <v>21</v>
      </c>
      <c r="W7" s="10">
        <f t="shared" si="0"/>
        <v>22</v>
      </c>
      <c r="X7" s="10">
        <f t="shared" si="0"/>
        <v>23</v>
      </c>
      <c r="Y7" s="10">
        <f t="shared" si="0"/>
        <v>24</v>
      </c>
      <c r="Z7" s="10">
        <f t="shared" si="0"/>
        <v>25</v>
      </c>
      <c r="AA7" s="11"/>
    </row>
    <row r="8" spans="1:27" ht="15" thickBot="1"/>
    <row r="9" spans="1:27" s="11" customFormat="1" ht="12">
      <c r="A9" s="14"/>
      <c r="B9" s="15">
        <v>2014</v>
      </c>
      <c r="C9" s="15">
        <f>B9+1</f>
        <v>2015</v>
      </c>
      <c r="D9" s="15">
        <f t="shared" ref="D9:F9" si="1">C9+1</f>
        <v>2016</v>
      </c>
      <c r="E9" s="15">
        <f t="shared" si="1"/>
        <v>2017</v>
      </c>
      <c r="F9" s="15">
        <f t="shared" si="1"/>
        <v>2018</v>
      </c>
      <c r="G9" s="15">
        <f t="shared" ref="G9" si="2">F9+1</f>
        <v>2019</v>
      </c>
      <c r="H9" s="15">
        <f t="shared" ref="H9" si="3">G9+1</f>
        <v>2020</v>
      </c>
      <c r="I9" s="15">
        <f t="shared" ref="I9" si="4">H9+1</f>
        <v>2021</v>
      </c>
      <c r="J9" s="15">
        <f t="shared" ref="J9:K9" si="5">I9+1</f>
        <v>2022</v>
      </c>
      <c r="K9" s="15">
        <f t="shared" si="5"/>
        <v>2023</v>
      </c>
      <c r="L9" s="15">
        <f t="shared" ref="L9" si="6">K9+1</f>
        <v>2024</v>
      </c>
      <c r="M9" s="15">
        <f t="shared" ref="M9" si="7">L9+1</f>
        <v>2025</v>
      </c>
      <c r="N9" s="15">
        <f t="shared" ref="N9" si="8">M9+1</f>
        <v>2026</v>
      </c>
      <c r="O9" s="15">
        <f t="shared" ref="O9" si="9">N9+1</f>
        <v>2027</v>
      </c>
      <c r="P9" s="15">
        <f t="shared" ref="P9" si="10">O9+1</f>
        <v>2028</v>
      </c>
      <c r="Q9" s="15">
        <f t="shared" ref="Q9" si="11">P9+1</f>
        <v>2029</v>
      </c>
      <c r="R9" s="15">
        <f t="shared" ref="R9" si="12">Q9+1</f>
        <v>2030</v>
      </c>
      <c r="S9" s="15">
        <f t="shared" ref="S9" si="13">R9+1</f>
        <v>2031</v>
      </c>
      <c r="T9" s="15">
        <f t="shared" ref="T9" si="14">S9+1</f>
        <v>2032</v>
      </c>
      <c r="U9" s="15">
        <f t="shared" ref="U9" si="15">T9+1</f>
        <v>2033</v>
      </c>
      <c r="V9" s="15">
        <f t="shared" ref="V9" si="16">U9+1</f>
        <v>2034</v>
      </c>
      <c r="W9" s="15">
        <f t="shared" ref="W9" si="17">V9+1</f>
        <v>2035</v>
      </c>
      <c r="X9" s="15">
        <f t="shared" ref="X9" si="18">W9+1</f>
        <v>2036</v>
      </c>
      <c r="Y9" s="15">
        <f t="shared" ref="Y9" si="19">X9+1</f>
        <v>2037</v>
      </c>
      <c r="Z9" s="15">
        <f t="shared" ref="Z9" si="20">Y9+1</f>
        <v>2038</v>
      </c>
      <c r="AA9" s="16" t="s">
        <v>4</v>
      </c>
    </row>
    <row r="10" spans="1:27" s="20" customFormat="1">
      <c r="A10" s="47" t="s">
        <v>31</v>
      </c>
      <c r="B10" s="18">
        <v>0</v>
      </c>
      <c r="C10" s="18">
        <v>0</v>
      </c>
      <c r="D10" s="18">
        <f>21*250*12</f>
        <v>63000</v>
      </c>
      <c r="E10" s="18">
        <f>25*(1.02*250)*12</f>
        <v>76500</v>
      </c>
      <c r="F10" s="18">
        <f>29*(1.02*255)*12</f>
        <v>90514.8</v>
      </c>
      <c r="G10" s="18">
        <f>F10*1.02</f>
        <v>92325.096000000005</v>
      </c>
      <c r="H10" s="18">
        <f t="shared" ref="H10:K11" si="21">G10*1.02</f>
        <v>94171.59792</v>
      </c>
      <c r="I10" s="18">
        <f t="shared" si="21"/>
        <v>96055.029878400004</v>
      </c>
      <c r="J10" s="18">
        <f t="shared" si="21"/>
        <v>97976.130475968006</v>
      </c>
      <c r="K10" s="18">
        <f t="shared" si="21"/>
        <v>99935.653085487371</v>
      </c>
      <c r="L10" s="18">
        <f t="shared" ref="L10" si="22">K10*1.02</f>
        <v>101934.36614719711</v>
      </c>
      <c r="M10" s="18">
        <f t="shared" ref="M10" si="23">L10*1.02</f>
        <v>103973.05347014105</v>
      </c>
      <c r="N10" s="18">
        <f t="shared" ref="N10" si="24">M10*1.02</f>
        <v>106052.51453954387</v>
      </c>
      <c r="O10" s="18">
        <f t="shared" ref="O10" si="25">N10*1.02</f>
        <v>108173.56483033476</v>
      </c>
      <c r="P10" s="18">
        <f t="shared" ref="P10" si="26">O10*1.02</f>
        <v>110337.03612694146</v>
      </c>
      <c r="Q10" s="18">
        <f t="shared" ref="Q10" si="27">P10*1.02</f>
        <v>112543.77684948029</v>
      </c>
      <c r="R10" s="18">
        <f t="shared" ref="R10" si="28">Q10*1.02</f>
        <v>114794.6523864699</v>
      </c>
      <c r="S10" s="18">
        <f t="shared" ref="S10" si="29">R10*1.02</f>
        <v>117090.5454341993</v>
      </c>
      <c r="T10" s="18">
        <f t="shared" ref="T10" si="30">S10*1.02</f>
        <v>119432.35634288329</v>
      </c>
      <c r="U10" s="18">
        <f t="shared" ref="U10:U11" si="31">T10*1.02</f>
        <v>121821.00346974096</v>
      </c>
      <c r="V10" s="18">
        <f t="shared" ref="V10:V11" si="32">U10*1.02</f>
        <v>124257.42353913578</v>
      </c>
      <c r="W10" s="18">
        <f t="shared" ref="W10:W11" si="33">V10*1.02</f>
        <v>126742.5720099185</v>
      </c>
      <c r="X10" s="18">
        <f t="shared" ref="X10:X11" si="34">W10*1.02</f>
        <v>129277.42345011687</v>
      </c>
      <c r="Y10" s="18">
        <f t="shared" ref="Y10:Y11" si="35">X10*1.02</f>
        <v>131862.97191911921</v>
      </c>
      <c r="Z10" s="18">
        <f t="shared" ref="Z10:Z11" si="36">Y10*1.02</f>
        <v>134500.23135750159</v>
      </c>
      <c r="AA10" s="19">
        <f>SUM(B10:Z10)</f>
        <v>2473271.7992325798</v>
      </c>
    </row>
    <row r="11" spans="1:27" s="20" customFormat="1">
      <c r="A11" s="47" t="s">
        <v>39</v>
      </c>
      <c r="B11" s="18"/>
      <c r="C11" s="18"/>
      <c r="D11" s="18">
        <f>10*200*12</f>
        <v>24000</v>
      </c>
      <c r="E11" s="18">
        <f>13*200*12</f>
        <v>31200</v>
      </c>
      <c r="F11" s="18">
        <f>19*200*12</f>
        <v>45600</v>
      </c>
      <c r="G11" s="18">
        <f>21*200*12</f>
        <v>50400</v>
      </c>
      <c r="H11" s="18">
        <f>30*200*12</f>
        <v>72000</v>
      </c>
      <c r="I11" s="18">
        <f>H11*1.02</f>
        <v>73440</v>
      </c>
      <c r="J11" s="18">
        <f t="shared" si="21"/>
        <v>74908.800000000003</v>
      </c>
      <c r="K11" s="18">
        <f t="shared" si="21"/>
        <v>76406.97600000001</v>
      </c>
      <c r="L11" s="18">
        <f t="shared" ref="L11:T11" si="37">K11*1.02</f>
        <v>77935.115520000007</v>
      </c>
      <c r="M11" s="18">
        <f t="shared" si="37"/>
        <v>79493.817830400003</v>
      </c>
      <c r="N11" s="18">
        <f t="shared" si="37"/>
        <v>81083.694187008005</v>
      </c>
      <c r="O11" s="18">
        <f t="shared" si="37"/>
        <v>82705.368070748169</v>
      </c>
      <c r="P11" s="18">
        <f t="shared" si="37"/>
        <v>84359.475432163134</v>
      </c>
      <c r="Q11" s="18">
        <f t="shared" si="37"/>
        <v>86046.664940806397</v>
      </c>
      <c r="R11" s="18">
        <f t="shared" si="37"/>
        <v>87767.59823962253</v>
      </c>
      <c r="S11" s="18">
        <f t="shared" si="37"/>
        <v>89522.950204414985</v>
      </c>
      <c r="T11" s="18">
        <f t="shared" si="37"/>
        <v>91313.40920850329</v>
      </c>
      <c r="U11" s="18">
        <f t="shared" si="31"/>
        <v>93139.677392673359</v>
      </c>
      <c r="V11" s="18">
        <f t="shared" si="32"/>
        <v>95002.470940526822</v>
      </c>
      <c r="W11" s="18">
        <f t="shared" si="33"/>
        <v>96902.520359337359</v>
      </c>
      <c r="X11" s="18">
        <f t="shared" si="34"/>
        <v>98840.570766524106</v>
      </c>
      <c r="Y11" s="18">
        <f t="shared" si="35"/>
        <v>100817.38218185458</v>
      </c>
      <c r="Z11" s="18">
        <f t="shared" si="36"/>
        <v>102833.72982549168</v>
      </c>
      <c r="AA11" s="19">
        <f t="shared" ref="AA11:AA46" si="38">SUM(B11:Z11)</f>
        <v>1795720.2211000747</v>
      </c>
    </row>
    <row r="12" spans="1:27" s="20" customFormat="1">
      <c r="A12" s="47" t="s">
        <v>55</v>
      </c>
      <c r="B12" s="21">
        <v>0</v>
      </c>
      <c r="C12" s="21">
        <v>0</v>
      </c>
      <c r="D12" s="21">
        <f>30*3200</f>
        <v>96000</v>
      </c>
      <c r="E12" s="22">
        <f>35*3400</f>
        <v>119000</v>
      </c>
      <c r="F12" s="18">
        <f>39*3500</f>
        <v>136500</v>
      </c>
      <c r="G12" s="44">
        <f>F12*1.04</f>
        <v>141960</v>
      </c>
      <c r="H12" s="44">
        <f t="shared" ref="H12:K12" si="39">G12*1.04</f>
        <v>147638.39999999999</v>
      </c>
      <c r="I12" s="44">
        <f t="shared" si="39"/>
        <v>153543.93599999999</v>
      </c>
      <c r="J12" s="44">
        <f t="shared" si="39"/>
        <v>159685.69344</v>
      </c>
      <c r="K12" s="44">
        <f t="shared" si="39"/>
        <v>166073.1211776</v>
      </c>
      <c r="L12" s="44">
        <f t="shared" ref="L12" si="40">K12*1.04</f>
        <v>172716.046024704</v>
      </c>
      <c r="M12" s="44">
        <f t="shared" ref="M12" si="41">L12*1.04</f>
        <v>179624.68786569216</v>
      </c>
      <c r="N12" s="44">
        <f t="shared" ref="N12" si="42">M12*1.04</f>
        <v>186809.67538031985</v>
      </c>
      <c r="O12" s="44">
        <f t="shared" ref="O12" si="43">N12*1.04</f>
        <v>194282.06239553264</v>
      </c>
      <c r="P12" s="44">
        <f t="shared" ref="P12" si="44">O12*1.04</f>
        <v>202053.34489135395</v>
      </c>
      <c r="Q12" s="44">
        <f t="shared" ref="Q12" si="45">P12*1.04</f>
        <v>210135.47868700812</v>
      </c>
      <c r="R12" s="44">
        <f t="shared" ref="R12" si="46">Q12*1.04</f>
        <v>218540.89783448845</v>
      </c>
      <c r="S12" s="44">
        <f t="shared" ref="S12" si="47">R12*1.04</f>
        <v>227282.533747868</v>
      </c>
      <c r="T12" s="44">
        <f t="shared" ref="T12" si="48">S12*1.04</f>
        <v>236373.83509778272</v>
      </c>
      <c r="U12" s="44">
        <f t="shared" ref="U12" si="49">T12*1.04</f>
        <v>245828.78850169404</v>
      </c>
      <c r="V12" s="44">
        <f t="shared" ref="V12" si="50">U12*1.04</f>
        <v>255661.94004176182</v>
      </c>
      <c r="W12" s="44">
        <f t="shared" ref="W12" si="51">V12*1.04</f>
        <v>265888.41764343227</v>
      </c>
      <c r="X12" s="44">
        <f t="shared" ref="X12" si="52">W12*1.04</f>
        <v>276523.95434916957</v>
      </c>
      <c r="Y12" s="44">
        <f t="shared" ref="Y12" si="53">X12*1.04</f>
        <v>287584.91252313636</v>
      </c>
      <c r="Z12" s="44">
        <f t="shared" ref="Z12" si="54">Y12*1.04</f>
        <v>299088.30902406183</v>
      </c>
      <c r="AA12" s="19">
        <f t="shared" si="38"/>
        <v>4578796.0346256057</v>
      </c>
    </row>
    <row r="13" spans="1:27" s="20" customFormat="1">
      <c r="A13" s="47" t="s">
        <v>56</v>
      </c>
      <c r="B13" s="21"/>
      <c r="C13" s="21"/>
      <c r="D13" s="21">
        <v>180000</v>
      </c>
      <c r="E13" s="22">
        <v>200000</v>
      </c>
      <c r="F13" s="18">
        <v>215000</v>
      </c>
      <c r="G13" s="44">
        <f>F13*1.03</f>
        <v>221450</v>
      </c>
      <c r="H13" s="44">
        <f t="shared" ref="H13:K13" si="55">G13*1.03</f>
        <v>228093.5</v>
      </c>
      <c r="I13" s="44">
        <f t="shared" si="55"/>
        <v>234936.30499999999</v>
      </c>
      <c r="J13" s="44">
        <f t="shared" si="55"/>
        <v>241984.39415000001</v>
      </c>
      <c r="K13" s="44">
        <f t="shared" si="55"/>
        <v>249243.92597450002</v>
      </c>
      <c r="L13" s="44">
        <f t="shared" ref="L13" si="56">K13*1.03</f>
        <v>256721.24375373503</v>
      </c>
      <c r="M13" s="44">
        <f t="shared" ref="M13" si="57">L13*1.03</f>
        <v>264422.88106634706</v>
      </c>
      <c r="N13" s="44">
        <f t="shared" ref="N13" si="58">M13*1.03</f>
        <v>272355.56749833748</v>
      </c>
      <c r="O13" s="44">
        <f t="shared" ref="O13" si="59">N13*1.03</f>
        <v>280526.23452328763</v>
      </c>
      <c r="P13" s="44">
        <f t="shared" ref="P13" si="60">O13*1.03</f>
        <v>288942.02155898628</v>
      </c>
      <c r="Q13" s="44">
        <f t="shared" ref="Q13" si="61">P13*1.03</f>
        <v>297610.28220575588</v>
      </c>
      <c r="R13" s="44">
        <f t="shared" ref="R13" si="62">Q13*1.03</f>
        <v>306538.59067192854</v>
      </c>
      <c r="S13" s="44">
        <f t="shared" ref="S13" si="63">R13*1.03</f>
        <v>315734.74839208642</v>
      </c>
      <c r="T13" s="44">
        <f t="shared" ref="T13:T14" si="64">S13*1.03</f>
        <v>325206.79084384901</v>
      </c>
      <c r="U13" s="44">
        <f t="shared" ref="U13:U14" si="65">T13*1.03</f>
        <v>334962.99456916447</v>
      </c>
      <c r="V13" s="44">
        <f t="shared" ref="V13:V14" si="66">U13*1.03</f>
        <v>345011.88440623943</v>
      </c>
      <c r="W13" s="44">
        <f t="shared" ref="W13:W14" si="67">V13*1.03</f>
        <v>355362.24093842664</v>
      </c>
      <c r="X13" s="44">
        <f t="shared" ref="X13:X14" si="68">W13*1.03</f>
        <v>366023.10816657945</v>
      </c>
      <c r="Y13" s="44">
        <f t="shared" ref="Y13:Y14" si="69">X13*1.03</f>
        <v>377003.80141157686</v>
      </c>
      <c r="Z13" s="44">
        <f t="shared" ref="Z13:Z14" si="70">Y13*1.03</f>
        <v>388313.91545392416</v>
      </c>
      <c r="AA13" s="19">
        <f t="shared" si="38"/>
        <v>6545444.4305847241</v>
      </c>
    </row>
    <row r="14" spans="1:27" s="20" customFormat="1">
      <c r="A14" s="47" t="s">
        <v>52</v>
      </c>
      <c r="B14" s="18">
        <v>0</v>
      </c>
      <c r="C14" s="18">
        <v>0</v>
      </c>
      <c r="D14" s="18">
        <f>5000*12</f>
        <v>60000</v>
      </c>
      <c r="E14" s="18">
        <f>5000*12</f>
        <v>60000</v>
      </c>
      <c r="F14" s="18">
        <v>60000</v>
      </c>
      <c r="G14" s="18">
        <v>60000</v>
      </c>
      <c r="H14" s="18">
        <v>60000</v>
      </c>
      <c r="I14" s="18">
        <v>60000</v>
      </c>
      <c r="J14" s="18">
        <v>60000</v>
      </c>
      <c r="K14" s="18">
        <v>60000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f t="shared" si="64"/>
        <v>0</v>
      </c>
      <c r="U14" s="44">
        <f t="shared" si="65"/>
        <v>0</v>
      </c>
      <c r="V14" s="44">
        <f t="shared" si="66"/>
        <v>0</v>
      </c>
      <c r="W14" s="44">
        <f t="shared" si="67"/>
        <v>0</v>
      </c>
      <c r="X14" s="44">
        <f t="shared" si="68"/>
        <v>0</v>
      </c>
      <c r="Y14" s="44">
        <f t="shared" si="69"/>
        <v>0</v>
      </c>
      <c r="Z14" s="44">
        <f t="shared" si="70"/>
        <v>0</v>
      </c>
      <c r="AA14" s="19">
        <f t="shared" si="38"/>
        <v>480000</v>
      </c>
    </row>
    <row r="15" spans="1:27" s="20" customFormat="1">
      <c r="A15" s="17"/>
      <c r="B15" s="21"/>
      <c r="C15" s="18"/>
      <c r="D15" s="18"/>
      <c r="E15" s="18"/>
      <c r="F15" s="18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19">
        <f t="shared" si="38"/>
        <v>0</v>
      </c>
    </row>
    <row r="16" spans="1:27" s="25" customFormat="1" ht="12">
      <c r="A16" s="23" t="s">
        <v>5</v>
      </c>
      <c r="B16" s="24">
        <f t="shared" ref="B16:K16" si="71">SUM(B10:B15)</f>
        <v>0</v>
      </c>
      <c r="C16" s="24">
        <f t="shared" si="71"/>
        <v>0</v>
      </c>
      <c r="D16" s="24">
        <f t="shared" si="71"/>
        <v>423000</v>
      </c>
      <c r="E16" s="24">
        <f t="shared" si="71"/>
        <v>486700</v>
      </c>
      <c r="F16" s="24">
        <f t="shared" si="71"/>
        <v>547614.80000000005</v>
      </c>
      <c r="G16" s="24">
        <f t="shared" si="71"/>
        <v>566135.09600000002</v>
      </c>
      <c r="H16" s="24">
        <f t="shared" si="71"/>
        <v>601903.49791999999</v>
      </c>
      <c r="I16" s="24">
        <f t="shared" si="71"/>
        <v>617975.27087839996</v>
      </c>
      <c r="J16" s="24">
        <f t="shared" si="71"/>
        <v>634555.01806596806</v>
      </c>
      <c r="K16" s="24">
        <f t="shared" si="71"/>
        <v>651659.67623758735</v>
      </c>
      <c r="L16" s="24">
        <f>SUM(L10:L15)</f>
        <v>609306.77144563617</v>
      </c>
      <c r="M16" s="24">
        <f t="shared" ref="M16" si="72">SUM(M10:M15)</f>
        <v>627514.44023258029</v>
      </c>
      <c r="N16" s="24">
        <f t="shared" ref="N16" si="73">SUM(N10:N15)</f>
        <v>646301.45160520915</v>
      </c>
      <c r="O16" s="24">
        <f t="shared" ref="O16" si="74">SUM(O10:O15)</f>
        <v>665687.22981990315</v>
      </c>
      <c r="P16" s="24">
        <f t="shared" ref="P16" si="75">SUM(P10:P15)</f>
        <v>685691.8780094448</v>
      </c>
      <c r="Q16" s="24">
        <f t="shared" ref="Q16" si="76">SUM(Q10:Q15)</f>
        <v>706336.20268305065</v>
      </c>
      <c r="R16" s="24">
        <f t="shared" ref="R16" si="77">SUM(R10:R15)</f>
        <v>727641.73913250933</v>
      </c>
      <c r="S16" s="24">
        <f t="shared" ref="S16" si="78">SUM(S10:S15)</f>
        <v>749630.77777856868</v>
      </c>
      <c r="T16" s="24">
        <f t="shared" ref="T16:Z16" si="79">SUM(T10:T15)</f>
        <v>772326.39149301825</v>
      </c>
      <c r="U16" s="24">
        <f t="shared" si="79"/>
        <v>795752.46393327275</v>
      </c>
      <c r="V16" s="24">
        <f t="shared" si="79"/>
        <v>819933.71892766375</v>
      </c>
      <c r="W16" s="24">
        <f t="shared" si="79"/>
        <v>844895.75095111481</v>
      </c>
      <c r="X16" s="24">
        <f t="shared" si="79"/>
        <v>870665.05673239008</v>
      </c>
      <c r="Y16" s="24">
        <f t="shared" si="79"/>
        <v>897269.06803568709</v>
      </c>
      <c r="Z16" s="24">
        <f t="shared" si="79"/>
        <v>924736.18566097924</v>
      </c>
      <c r="AA16" s="19">
        <f t="shared" si="38"/>
        <v>15873232.485542983</v>
      </c>
    </row>
    <row r="17" spans="1:27" s="25" customFormat="1" ht="12">
      <c r="A17" s="45" t="s">
        <v>48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19">
        <f t="shared" si="38"/>
        <v>0</v>
      </c>
    </row>
    <row r="18" spans="1:27" s="20" customFormat="1">
      <c r="A18" s="47" t="s">
        <v>32</v>
      </c>
      <c r="B18" s="18">
        <v>0</v>
      </c>
      <c r="C18" s="18">
        <f>D18/2</f>
        <v>21520</v>
      </c>
      <c r="D18" s="18">
        <v>43040</v>
      </c>
      <c r="E18" s="18">
        <f>D18*1.02</f>
        <v>43900.800000000003</v>
      </c>
      <c r="F18" s="18">
        <f>E18*1.02</f>
        <v>44778.816000000006</v>
      </c>
      <c r="G18" s="18">
        <f t="shared" ref="G18:K19" si="80">F18*1.02</f>
        <v>45674.392320000006</v>
      </c>
      <c r="H18" s="18">
        <f t="shared" si="80"/>
        <v>46587.880166400006</v>
      </c>
      <c r="I18" s="18">
        <f t="shared" si="80"/>
        <v>47519.637769728004</v>
      </c>
      <c r="J18" s="18">
        <f t="shared" si="80"/>
        <v>48470.030525122565</v>
      </c>
      <c r="K18" s="18">
        <f t="shared" si="80"/>
        <v>49439.431135625018</v>
      </c>
      <c r="L18" s="18">
        <f t="shared" ref="L18:L19" si="81">K18*1.02</f>
        <v>50428.219758337516</v>
      </c>
      <c r="M18" s="18">
        <f t="shared" ref="M18:M19" si="82">L18*1.02</f>
        <v>51436.784153504268</v>
      </c>
      <c r="N18" s="18">
        <f t="shared" ref="N18:N19" si="83">M18*1.02</f>
        <v>52465.519836574356</v>
      </c>
      <c r="O18" s="18">
        <f t="shared" ref="O18:O19" si="84">N18*1.02</f>
        <v>53514.830233305845</v>
      </c>
      <c r="P18" s="18">
        <f t="shared" ref="P18:P19" si="85">O18*1.02</f>
        <v>54585.126837971962</v>
      </c>
      <c r="Q18" s="18">
        <f t="shared" ref="Q18:Q19" si="86">P18*1.02</f>
        <v>55676.829374731402</v>
      </c>
      <c r="R18" s="18">
        <f t="shared" ref="R18:R19" si="87">Q18*1.02</f>
        <v>56790.365962226031</v>
      </c>
      <c r="S18" s="18">
        <f t="shared" ref="S18:S19" si="88">R18*1.02</f>
        <v>57926.173281470554</v>
      </c>
      <c r="T18" s="18">
        <f t="shared" ref="T18:T19" si="89">S18*1.02</f>
        <v>59084.696747099966</v>
      </c>
      <c r="U18" s="18">
        <f t="shared" ref="U18:U19" si="90">T18*1.02</f>
        <v>60266.390682041965</v>
      </c>
      <c r="V18" s="18">
        <f t="shared" ref="V18:V19" si="91">U18*1.02</f>
        <v>61471.718495682806</v>
      </c>
      <c r="W18" s="18">
        <f t="shared" ref="W18:W19" si="92">V18*1.02</f>
        <v>62701.152865596465</v>
      </c>
      <c r="X18" s="18">
        <f t="shared" ref="X18:X19" si="93">W18*1.02</f>
        <v>63955.175922908398</v>
      </c>
      <c r="Y18" s="18">
        <f t="shared" ref="Y18:Y19" si="94">X18*1.02</f>
        <v>65234.279441366569</v>
      </c>
      <c r="Z18" s="18">
        <f t="shared" ref="Z18:Z19" si="95">Y18*1.02</f>
        <v>66538.965030193896</v>
      </c>
      <c r="AA18" s="19">
        <f t="shared" si="38"/>
        <v>1263007.2165398875</v>
      </c>
    </row>
    <row r="19" spans="1:27" s="20" customFormat="1" ht="15.75" customHeight="1">
      <c r="A19" s="47" t="s">
        <v>53</v>
      </c>
      <c r="B19" s="18"/>
      <c r="C19" s="18"/>
      <c r="D19" s="18">
        <v>60052</v>
      </c>
      <c r="E19" s="18">
        <f>D19*1.02</f>
        <v>61253.04</v>
      </c>
      <c r="F19" s="18">
        <f t="shared" ref="F19" si="96">E19*1.02</f>
        <v>62478.1008</v>
      </c>
      <c r="G19" s="18">
        <f t="shared" si="80"/>
        <v>63727.662816000004</v>
      </c>
      <c r="H19" s="18">
        <f t="shared" si="80"/>
        <v>65002.216072320007</v>
      </c>
      <c r="I19" s="18">
        <f t="shared" si="80"/>
        <v>66302.26039376641</v>
      </c>
      <c r="J19" s="18">
        <f t="shared" si="80"/>
        <v>67628.305601641739</v>
      </c>
      <c r="K19" s="18">
        <f t="shared" si="80"/>
        <v>68980.871713674569</v>
      </c>
      <c r="L19" s="18">
        <f t="shared" si="81"/>
        <v>70360.489147948058</v>
      </c>
      <c r="M19" s="18">
        <f t="shared" si="82"/>
        <v>71767.69893090702</v>
      </c>
      <c r="N19" s="18">
        <f t="shared" si="83"/>
        <v>73203.052909525155</v>
      </c>
      <c r="O19" s="18">
        <f t="shared" si="84"/>
        <v>74667.113967715661</v>
      </c>
      <c r="P19" s="18">
        <f t="shared" si="85"/>
        <v>76160.456247069975</v>
      </c>
      <c r="Q19" s="18">
        <f t="shared" si="86"/>
        <v>77683.665372011383</v>
      </c>
      <c r="R19" s="18">
        <f t="shared" si="87"/>
        <v>79237.338679451612</v>
      </c>
      <c r="S19" s="18">
        <f t="shared" si="88"/>
        <v>80822.08545304065</v>
      </c>
      <c r="T19" s="18">
        <f t="shared" si="89"/>
        <v>82438.527162101469</v>
      </c>
      <c r="U19" s="18">
        <f t="shared" si="90"/>
        <v>84087.297705343502</v>
      </c>
      <c r="V19" s="18">
        <f t="shared" si="91"/>
        <v>85769.04365945037</v>
      </c>
      <c r="W19" s="18">
        <f t="shared" si="92"/>
        <v>87484.424532639372</v>
      </c>
      <c r="X19" s="18">
        <f t="shared" si="93"/>
        <v>89234.113023292157</v>
      </c>
      <c r="Y19" s="18">
        <f t="shared" si="94"/>
        <v>91018.795283758009</v>
      </c>
      <c r="Z19" s="18">
        <f t="shared" si="95"/>
        <v>92839.171189433167</v>
      </c>
      <c r="AA19" s="19">
        <f t="shared" si="38"/>
        <v>1732197.7306610902</v>
      </c>
    </row>
    <row r="20" spans="1:27" s="20" customFormat="1">
      <c r="A20" s="47" t="s">
        <v>38</v>
      </c>
      <c r="B20" s="18"/>
      <c r="C20" s="18"/>
      <c r="D20" s="18">
        <f>192000/2</f>
        <v>96000</v>
      </c>
      <c r="E20" s="18">
        <f>192000*0.75</f>
        <v>144000</v>
      </c>
      <c r="F20" s="18">
        <v>192000</v>
      </c>
      <c r="G20" s="18">
        <v>192000</v>
      </c>
      <c r="H20" s="18">
        <v>192000</v>
      </c>
      <c r="I20" s="18">
        <f>H20*1.015</f>
        <v>194879.99999999997</v>
      </c>
      <c r="J20" s="18">
        <f t="shared" ref="J20:T20" si="97">I20*1.015</f>
        <v>197803.19999999995</v>
      </c>
      <c r="K20" s="18">
        <f t="shared" si="97"/>
        <v>200770.24799999993</v>
      </c>
      <c r="L20" s="18">
        <f t="shared" si="97"/>
        <v>203781.8017199999</v>
      </c>
      <c r="M20" s="18">
        <f t="shared" si="97"/>
        <v>206838.52874579988</v>
      </c>
      <c r="N20" s="18">
        <f t="shared" si="97"/>
        <v>209941.10667698685</v>
      </c>
      <c r="O20" s="18">
        <f t="shared" si="97"/>
        <v>213090.22327714163</v>
      </c>
      <c r="P20" s="18">
        <f t="shared" si="97"/>
        <v>216286.57662629875</v>
      </c>
      <c r="Q20" s="18">
        <f t="shared" si="97"/>
        <v>219530.87527569319</v>
      </c>
      <c r="R20" s="18">
        <f t="shared" si="97"/>
        <v>222823.83840482857</v>
      </c>
      <c r="S20" s="18">
        <f t="shared" si="97"/>
        <v>226166.19598090099</v>
      </c>
      <c r="T20" s="18">
        <f t="shared" si="97"/>
        <v>229558.68892061448</v>
      </c>
      <c r="U20" s="18">
        <f t="shared" ref="U20" si="98">T20*1.015</f>
        <v>233002.06925442367</v>
      </c>
      <c r="V20" s="18">
        <f t="shared" ref="V20" si="99">U20*1.015</f>
        <v>236497.10029323999</v>
      </c>
      <c r="W20" s="18">
        <f t="shared" ref="W20" si="100">V20*1.015</f>
        <v>240044.55679763856</v>
      </c>
      <c r="X20" s="18">
        <f t="shared" ref="X20" si="101">W20*1.015</f>
        <v>243645.22514960312</v>
      </c>
      <c r="Y20" s="18">
        <f t="shared" ref="Y20" si="102">X20*1.015</f>
        <v>247299.90352684713</v>
      </c>
      <c r="Z20" s="18">
        <f t="shared" ref="Z20" si="103">Y20*1.015</f>
        <v>251009.40207974982</v>
      </c>
      <c r="AA20" s="19">
        <f t="shared" si="38"/>
        <v>4808969.5407297667</v>
      </c>
    </row>
    <row r="21" spans="1:27" s="20" customFormat="1">
      <c r="A21" s="47" t="s">
        <v>57</v>
      </c>
      <c r="B21" s="18"/>
      <c r="C21" s="18"/>
      <c r="D21" s="18">
        <v>3000</v>
      </c>
      <c r="E21" s="18">
        <f>D21*1.02</f>
        <v>3060</v>
      </c>
      <c r="F21" s="18">
        <f t="shared" ref="F21:Z21" si="104">E21*1.02</f>
        <v>3121.2000000000003</v>
      </c>
      <c r="G21" s="18">
        <f t="shared" si="104"/>
        <v>3183.6240000000003</v>
      </c>
      <c r="H21" s="18">
        <f t="shared" si="104"/>
        <v>3247.2964800000004</v>
      </c>
      <c r="I21" s="18">
        <f t="shared" si="104"/>
        <v>3312.2424096000004</v>
      </c>
      <c r="J21" s="18">
        <f t="shared" si="104"/>
        <v>3378.4872577920005</v>
      </c>
      <c r="K21" s="18">
        <f t="shared" si="104"/>
        <v>3446.0570029478404</v>
      </c>
      <c r="L21" s="18">
        <f t="shared" si="104"/>
        <v>3514.9781430067974</v>
      </c>
      <c r="M21" s="18">
        <f t="shared" si="104"/>
        <v>3585.2777058669335</v>
      </c>
      <c r="N21" s="18">
        <f t="shared" si="104"/>
        <v>3656.9832599842721</v>
      </c>
      <c r="O21" s="18">
        <f t="shared" si="104"/>
        <v>3730.1229251839577</v>
      </c>
      <c r="P21" s="18">
        <f t="shared" si="104"/>
        <v>3804.7253836876371</v>
      </c>
      <c r="Q21" s="18">
        <f t="shared" si="104"/>
        <v>3880.8198913613901</v>
      </c>
      <c r="R21" s="18">
        <f t="shared" si="104"/>
        <v>3958.436289188618</v>
      </c>
      <c r="S21" s="18">
        <f t="shared" si="104"/>
        <v>4037.6050149723906</v>
      </c>
      <c r="T21" s="18">
        <f t="shared" si="104"/>
        <v>4118.3571152718387</v>
      </c>
      <c r="U21" s="18">
        <f t="shared" si="104"/>
        <v>4200.7242575772752</v>
      </c>
      <c r="V21" s="18">
        <f t="shared" si="104"/>
        <v>4284.7387427288204</v>
      </c>
      <c r="W21" s="18">
        <f t="shared" si="104"/>
        <v>4370.4335175833967</v>
      </c>
      <c r="X21" s="18">
        <f t="shared" si="104"/>
        <v>4457.8421879350644</v>
      </c>
      <c r="Y21" s="18">
        <f t="shared" si="104"/>
        <v>4546.9990316937656</v>
      </c>
      <c r="Z21" s="18">
        <f t="shared" si="104"/>
        <v>4637.9390123276407</v>
      </c>
      <c r="AA21" s="19">
        <f t="shared" si="38"/>
        <v>86534.889628709629</v>
      </c>
    </row>
    <row r="22" spans="1:27" s="20" customFormat="1">
      <c r="A22" s="17"/>
      <c r="B22" s="18"/>
      <c r="C22" s="18"/>
      <c r="D22" s="18"/>
      <c r="E22" s="18"/>
      <c r="F22" s="18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19"/>
    </row>
    <row r="23" spans="1:27" s="20" customFormat="1">
      <c r="A23" s="46" t="s">
        <v>49</v>
      </c>
      <c r="B23" s="18"/>
      <c r="C23" s="18"/>
      <c r="D23" s="18"/>
      <c r="E23" s="18"/>
      <c r="F23" s="18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19"/>
    </row>
    <row r="24" spans="1:27" s="20" customFormat="1">
      <c r="A24" s="47" t="s">
        <v>40</v>
      </c>
      <c r="B24" s="18"/>
      <c r="C24" s="18"/>
      <c r="D24" s="18">
        <f t="shared" ref="D24:Z24" si="105">D13*0.45</f>
        <v>81000</v>
      </c>
      <c r="E24" s="18">
        <f t="shared" si="105"/>
        <v>90000</v>
      </c>
      <c r="F24" s="18">
        <f t="shared" si="105"/>
        <v>96750</v>
      </c>
      <c r="G24" s="18">
        <f t="shared" si="105"/>
        <v>99652.5</v>
      </c>
      <c r="H24" s="18">
        <f t="shared" si="105"/>
        <v>102642.075</v>
      </c>
      <c r="I24" s="18">
        <f t="shared" si="105"/>
        <v>105721.33725</v>
      </c>
      <c r="J24" s="18">
        <f t="shared" si="105"/>
        <v>108892.9773675</v>
      </c>
      <c r="K24" s="18">
        <f t="shared" si="105"/>
        <v>112159.76668852501</v>
      </c>
      <c r="L24" s="18">
        <f t="shared" si="105"/>
        <v>115524.55968918077</v>
      </c>
      <c r="M24" s="18">
        <f t="shared" si="105"/>
        <v>118990.29647985619</v>
      </c>
      <c r="N24" s="18">
        <f t="shared" si="105"/>
        <v>122560.00537425186</v>
      </c>
      <c r="O24" s="18">
        <f t="shared" si="105"/>
        <v>126236.80553547943</v>
      </c>
      <c r="P24" s="18">
        <f t="shared" si="105"/>
        <v>130023.90970154383</v>
      </c>
      <c r="Q24" s="18">
        <f t="shared" si="105"/>
        <v>133924.62699259014</v>
      </c>
      <c r="R24" s="18">
        <f t="shared" si="105"/>
        <v>137942.36580236786</v>
      </c>
      <c r="S24" s="18">
        <f t="shared" si="105"/>
        <v>142080.63677643889</v>
      </c>
      <c r="T24" s="18">
        <f t="shared" si="105"/>
        <v>146343.05587973207</v>
      </c>
      <c r="U24" s="18">
        <f t="shared" si="105"/>
        <v>150733.347556124</v>
      </c>
      <c r="V24" s="18">
        <f t="shared" si="105"/>
        <v>155255.34798280775</v>
      </c>
      <c r="W24" s="18">
        <f t="shared" si="105"/>
        <v>159913.00842229198</v>
      </c>
      <c r="X24" s="18">
        <f t="shared" si="105"/>
        <v>164710.39867496074</v>
      </c>
      <c r="Y24" s="18">
        <f t="shared" si="105"/>
        <v>169651.7106352096</v>
      </c>
      <c r="Z24" s="18">
        <f t="shared" si="105"/>
        <v>174741.26195426588</v>
      </c>
      <c r="AA24" s="19">
        <f t="shared" si="38"/>
        <v>2945449.9937631255</v>
      </c>
    </row>
    <row r="25" spans="1:27" s="20" customFormat="1">
      <c r="A25" s="47" t="s">
        <v>41</v>
      </c>
      <c r="B25" s="18"/>
      <c r="C25" s="18"/>
      <c r="D25" s="18">
        <f t="shared" ref="D25:Z25" si="106">D13*0.29</f>
        <v>52200</v>
      </c>
      <c r="E25" s="18">
        <f t="shared" si="106"/>
        <v>57999.999999999993</v>
      </c>
      <c r="F25" s="18">
        <f t="shared" si="106"/>
        <v>62349.999999999993</v>
      </c>
      <c r="G25" s="18">
        <f t="shared" si="106"/>
        <v>64220.499999999993</v>
      </c>
      <c r="H25" s="18">
        <f t="shared" si="106"/>
        <v>66147.114999999991</v>
      </c>
      <c r="I25" s="18">
        <f t="shared" si="106"/>
        <v>68131.528449999998</v>
      </c>
      <c r="J25" s="18">
        <f t="shared" si="106"/>
        <v>70175.474303499999</v>
      </c>
      <c r="K25" s="18">
        <f t="shared" si="106"/>
        <v>72280.738532604999</v>
      </c>
      <c r="L25" s="18">
        <f t="shared" si="106"/>
        <v>74449.160688583157</v>
      </c>
      <c r="M25" s="18">
        <f t="shared" si="106"/>
        <v>76682.635509240645</v>
      </c>
      <c r="N25" s="18">
        <f t="shared" si="106"/>
        <v>78983.114574517866</v>
      </c>
      <c r="O25" s="18">
        <f t="shared" si="106"/>
        <v>81352.6080117534</v>
      </c>
      <c r="P25" s="18">
        <f t="shared" si="106"/>
        <v>83793.18625210601</v>
      </c>
      <c r="Q25" s="18">
        <f t="shared" si="106"/>
        <v>86306.981839669199</v>
      </c>
      <c r="R25" s="18">
        <f t="shared" si="106"/>
        <v>88896.191294859265</v>
      </c>
      <c r="S25" s="18">
        <f t="shared" si="106"/>
        <v>91563.077033705049</v>
      </c>
      <c r="T25" s="18">
        <f t="shared" si="106"/>
        <v>94309.969344716214</v>
      </c>
      <c r="U25" s="18">
        <f t="shared" si="106"/>
        <v>97139.268425057686</v>
      </c>
      <c r="V25" s="18">
        <f t="shared" si="106"/>
        <v>100053.44647780943</v>
      </c>
      <c r="W25" s="18">
        <f t="shared" si="106"/>
        <v>103055.04987214372</v>
      </c>
      <c r="X25" s="18">
        <f t="shared" si="106"/>
        <v>106146.70136830803</v>
      </c>
      <c r="Y25" s="18">
        <f t="shared" si="106"/>
        <v>109331.10240935728</v>
      </c>
      <c r="Z25" s="18">
        <f t="shared" si="106"/>
        <v>112611.035481638</v>
      </c>
      <c r="AA25" s="19">
        <f t="shared" si="38"/>
        <v>1898178.8848695697</v>
      </c>
    </row>
    <row r="26" spans="1:27" s="20" customFormat="1">
      <c r="A26" s="47" t="s">
        <v>47</v>
      </c>
      <c r="B26" s="18"/>
      <c r="C26" s="18"/>
      <c r="D26" s="18">
        <v>3000</v>
      </c>
      <c r="E26" s="18">
        <f>D26*1.01</f>
        <v>3030</v>
      </c>
      <c r="F26" s="18">
        <f t="shared" ref="F26:T26" si="107">E26*1.01</f>
        <v>3060.3</v>
      </c>
      <c r="G26" s="18">
        <f t="shared" si="107"/>
        <v>3090.9030000000002</v>
      </c>
      <c r="H26" s="18">
        <f t="shared" si="107"/>
        <v>3121.8120300000005</v>
      </c>
      <c r="I26" s="18">
        <f t="shared" si="107"/>
        <v>3153.0301503000005</v>
      </c>
      <c r="J26" s="18">
        <f t="shared" si="107"/>
        <v>3184.5604518030004</v>
      </c>
      <c r="K26" s="18">
        <f t="shared" si="107"/>
        <v>3216.4060563210305</v>
      </c>
      <c r="L26" s="18">
        <f t="shared" si="107"/>
        <v>3248.5701168842406</v>
      </c>
      <c r="M26" s="18">
        <f t="shared" si="107"/>
        <v>3281.0558180530829</v>
      </c>
      <c r="N26" s="18">
        <f t="shared" si="107"/>
        <v>3313.8663762336137</v>
      </c>
      <c r="O26" s="18">
        <f t="shared" si="107"/>
        <v>3347.00503999595</v>
      </c>
      <c r="P26" s="18">
        <f t="shared" si="107"/>
        <v>3380.4750903959098</v>
      </c>
      <c r="Q26" s="18">
        <f t="shared" si="107"/>
        <v>3414.2798412998691</v>
      </c>
      <c r="R26" s="18">
        <f t="shared" si="107"/>
        <v>3448.4226397128677</v>
      </c>
      <c r="S26" s="18">
        <f t="shared" si="107"/>
        <v>3482.9068661099964</v>
      </c>
      <c r="T26" s="18">
        <f t="shared" si="107"/>
        <v>3517.7359347710963</v>
      </c>
      <c r="U26" s="18">
        <f t="shared" ref="U26" si="108">T26*1.01</f>
        <v>3552.9132941188072</v>
      </c>
      <c r="V26" s="18">
        <f t="shared" ref="V26" si="109">U26*1.01</f>
        <v>3588.4424270599952</v>
      </c>
      <c r="W26" s="18">
        <f t="shared" ref="W26" si="110">V26*1.01</f>
        <v>3624.3268513305952</v>
      </c>
      <c r="X26" s="18">
        <f t="shared" ref="X26" si="111">W26*1.01</f>
        <v>3660.570119843901</v>
      </c>
      <c r="Y26" s="18">
        <f t="shared" ref="Y26" si="112">X26*1.01</f>
        <v>3697.17582104234</v>
      </c>
      <c r="Z26" s="18">
        <f t="shared" ref="Z26" si="113">Y26*1.01</f>
        <v>3734.1475792527635</v>
      </c>
      <c r="AA26" s="19">
        <f t="shared" si="38"/>
        <v>77148.905504529044</v>
      </c>
    </row>
    <row r="27" spans="1:27" s="20" customFormat="1">
      <c r="A27" s="47" t="s">
        <v>43</v>
      </c>
      <c r="B27" s="18"/>
      <c r="C27" s="18"/>
      <c r="D27" s="18">
        <f t="shared" ref="D27:Z27" si="114">D13*0.03</f>
        <v>5400</v>
      </c>
      <c r="E27" s="18">
        <f t="shared" si="114"/>
        <v>6000</v>
      </c>
      <c r="F27" s="18">
        <f t="shared" si="114"/>
        <v>6450</v>
      </c>
      <c r="G27" s="18">
        <f t="shared" si="114"/>
        <v>6643.5</v>
      </c>
      <c r="H27" s="18">
        <f t="shared" si="114"/>
        <v>6842.8049999999994</v>
      </c>
      <c r="I27" s="18">
        <f t="shared" si="114"/>
        <v>7048.0891499999998</v>
      </c>
      <c r="J27" s="18">
        <f t="shared" si="114"/>
        <v>7259.5318244999999</v>
      </c>
      <c r="K27" s="18">
        <f t="shared" si="114"/>
        <v>7477.3177792349998</v>
      </c>
      <c r="L27" s="18">
        <f t="shared" si="114"/>
        <v>7701.6373126120507</v>
      </c>
      <c r="M27" s="18">
        <f t="shared" si="114"/>
        <v>7932.6864319904116</v>
      </c>
      <c r="N27" s="18">
        <f t="shared" si="114"/>
        <v>8170.667024950124</v>
      </c>
      <c r="O27" s="18">
        <f t="shared" si="114"/>
        <v>8415.7870356986277</v>
      </c>
      <c r="P27" s="18">
        <f t="shared" si="114"/>
        <v>8668.2606467695878</v>
      </c>
      <c r="Q27" s="18">
        <f t="shared" si="114"/>
        <v>8928.3084661726753</v>
      </c>
      <c r="R27" s="18">
        <f t="shared" si="114"/>
        <v>9196.1577201578566</v>
      </c>
      <c r="S27" s="18">
        <f t="shared" si="114"/>
        <v>9472.0424517625925</v>
      </c>
      <c r="T27" s="18">
        <f t="shared" si="114"/>
        <v>9756.2037253154704</v>
      </c>
      <c r="U27" s="18">
        <f t="shared" si="114"/>
        <v>10048.889837074934</v>
      </c>
      <c r="V27" s="18">
        <f t="shared" si="114"/>
        <v>10350.356532187183</v>
      </c>
      <c r="W27" s="18">
        <f t="shared" si="114"/>
        <v>10660.867228152798</v>
      </c>
      <c r="X27" s="18">
        <f t="shared" si="114"/>
        <v>10980.693244997383</v>
      </c>
      <c r="Y27" s="18">
        <f t="shared" si="114"/>
        <v>11310.114042347306</v>
      </c>
      <c r="Z27" s="18">
        <f t="shared" si="114"/>
        <v>11649.417463617725</v>
      </c>
      <c r="AA27" s="19">
        <f t="shared" si="38"/>
        <v>196363.33291754173</v>
      </c>
    </row>
    <row r="28" spans="1:27" s="20" customFormat="1">
      <c r="A28" s="47" t="s">
        <v>51</v>
      </c>
      <c r="B28" s="18"/>
      <c r="C28" s="18"/>
      <c r="D28" s="18">
        <f>D12*0.03</f>
        <v>2880</v>
      </c>
      <c r="E28" s="18">
        <f t="shared" ref="E28:Z28" si="115">E12*0.03</f>
        <v>3570</v>
      </c>
      <c r="F28" s="18">
        <f t="shared" si="115"/>
        <v>4095</v>
      </c>
      <c r="G28" s="18">
        <f t="shared" si="115"/>
        <v>4258.8</v>
      </c>
      <c r="H28" s="18">
        <f t="shared" si="115"/>
        <v>4429.152</v>
      </c>
      <c r="I28" s="18">
        <f t="shared" si="115"/>
        <v>4606.3180799999991</v>
      </c>
      <c r="J28" s="18">
        <f t="shared" si="115"/>
        <v>4790.5708032000002</v>
      </c>
      <c r="K28" s="18">
        <f t="shared" si="115"/>
        <v>4982.1936353279998</v>
      </c>
      <c r="L28" s="18">
        <f t="shared" si="115"/>
        <v>5181.4813807411201</v>
      </c>
      <c r="M28" s="18">
        <f t="shared" si="115"/>
        <v>5388.7406359707647</v>
      </c>
      <c r="N28" s="18">
        <f t="shared" si="115"/>
        <v>5604.2902614095956</v>
      </c>
      <c r="O28" s="18">
        <f t="shared" si="115"/>
        <v>5828.4618718659794</v>
      </c>
      <c r="P28" s="18">
        <f t="shared" si="115"/>
        <v>6061.6003467406181</v>
      </c>
      <c r="Q28" s="18">
        <f t="shared" si="115"/>
        <v>6304.0643606102431</v>
      </c>
      <c r="R28" s="18">
        <f t="shared" si="115"/>
        <v>6556.2269350346533</v>
      </c>
      <c r="S28" s="18">
        <f t="shared" si="115"/>
        <v>6818.47601243604</v>
      </c>
      <c r="T28" s="18">
        <f t="shared" si="115"/>
        <v>7091.2150529334813</v>
      </c>
      <c r="U28" s="18">
        <f t="shared" si="115"/>
        <v>7374.8636550508209</v>
      </c>
      <c r="V28" s="18">
        <f t="shared" si="115"/>
        <v>7669.8582012528541</v>
      </c>
      <c r="W28" s="18">
        <f t="shared" si="115"/>
        <v>7976.6525293029681</v>
      </c>
      <c r="X28" s="18">
        <f t="shared" si="115"/>
        <v>8295.7186304750867</v>
      </c>
      <c r="Y28" s="18">
        <f t="shared" si="115"/>
        <v>8627.5473756940901</v>
      </c>
      <c r="Z28" s="18">
        <f t="shared" si="115"/>
        <v>8972.6492707218549</v>
      </c>
      <c r="AA28" s="19">
        <f t="shared" si="38"/>
        <v>137363.88103876816</v>
      </c>
    </row>
    <row r="29" spans="1:27" s="20" customFormat="1">
      <c r="A29" s="47"/>
      <c r="B29" s="18"/>
      <c r="C29" s="18"/>
      <c r="D29" s="18"/>
      <c r="E29" s="18"/>
      <c r="F29" s="18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19"/>
    </row>
    <row r="30" spans="1:27" s="20" customFormat="1">
      <c r="A30" s="46" t="s">
        <v>50</v>
      </c>
      <c r="B30" s="18"/>
      <c r="C30" s="18"/>
      <c r="D30" s="18"/>
      <c r="E30" s="18"/>
      <c r="F30" s="18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19"/>
    </row>
    <row r="31" spans="1:27" s="20" customFormat="1">
      <c r="A31" s="47" t="s">
        <v>58</v>
      </c>
      <c r="B31" s="18"/>
      <c r="C31" s="18"/>
      <c r="D31" s="18">
        <v>1500</v>
      </c>
      <c r="E31" s="18">
        <f>D31*1.02</f>
        <v>1530</v>
      </c>
      <c r="F31" s="18">
        <f t="shared" ref="F31:Z31" si="116">E31*1.02</f>
        <v>1560.6000000000001</v>
      </c>
      <c r="G31" s="18">
        <f t="shared" si="116"/>
        <v>1591.8120000000001</v>
      </c>
      <c r="H31" s="18">
        <f t="shared" si="116"/>
        <v>1623.6482400000002</v>
      </c>
      <c r="I31" s="18">
        <f t="shared" si="116"/>
        <v>1656.1212048000002</v>
      </c>
      <c r="J31" s="18">
        <f t="shared" si="116"/>
        <v>1689.2436288960002</v>
      </c>
      <c r="K31" s="18">
        <f t="shared" si="116"/>
        <v>1723.0285014739202</v>
      </c>
      <c r="L31" s="18">
        <f t="shared" si="116"/>
        <v>1757.4890715033987</v>
      </c>
      <c r="M31" s="18">
        <f t="shared" si="116"/>
        <v>1792.6388529334668</v>
      </c>
      <c r="N31" s="18">
        <f t="shared" si="116"/>
        <v>1828.491629992136</v>
      </c>
      <c r="O31" s="18">
        <f t="shared" si="116"/>
        <v>1865.0614625919789</v>
      </c>
      <c r="P31" s="18">
        <f t="shared" si="116"/>
        <v>1902.3626918438185</v>
      </c>
      <c r="Q31" s="18">
        <f t="shared" si="116"/>
        <v>1940.409945680695</v>
      </c>
      <c r="R31" s="18">
        <f t="shared" si="116"/>
        <v>1979.218144594309</v>
      </c>
      <c r="S31" s="18">
        <f t="shared" si="116"/>
        <v>2018.8025074861953</v>
      </c>
      <c r="T31" s="18">
        <f t="shared" si="116"/>
        <v>2059.1785576359193</v>
      </c>
      <c r="U31" s="18">
        <f t="shared" si="116"/>
        <v>2100.3621287886376</v>
      </c>
      <c r="V31" s="18">
        <f t="shared" si="116"/>
        <v>2142.3693713644102</v>
      </c>
      <c r="W31" s="18">
        <f t="shared" si="116"/>
        <v>2185.2167587916983</v>
      </c>
      <c r="X31" s="18">
        <f t="shared" si="116"/>
        <v>2228.9210939675322</v>
      </c>
      <c r="Y31" s="18">
        <f t="shared" si="116"/>
        <v>2273.4995158468828</v>
      </c>
      <c r="Z31" s="18">
        <f t="shared" si="116"/>
        <v>2318.9695061638204</v>
      </c>
      <c r="AA31" s="19">
        <f t="shared" si="38"/>
        <v>43267.444814354814</v>
      </c>
    </row>
    <row r="32" spans="1:27" s="20" customFormat="1">
      <c r="A32" s="47" t="s">
        <v>33</v>
      </c>
      <c r="B32" s="18"/>
      <c r="C32" s="18"/>
      <c r="D32" s="18">
        <f>1900*12</f>
        <v>22800</v>
      </c>
      <c r="E32" s="18">
        <f>D32*1.03</f>
        <v>23484</v>
      </c>
      <c r="F32" s="18">
        <f t="shared" ref="F32:T33" si="117">E32*1.03</f>
        <v>24188.52</v>
      </c>
      <c r="G32" s="18">
        <f t="shared" si="117"/>
        <v>24914.175600000002</v>
      </c>
      <c r="H32" s="18">
        <f t="shared" si="117"/>
        <v>25661.600868000001</v>
      </c>
      <c r="I32" s="18">
        <f t="shared" si="117"/>
        <v>26431.448894040001</v>
      </c>
      <c r="J32" s="18">
        <f t="shared" si="117"/>
        <v>27224.392360861202</v>
      </c>
      <c r="K32" s="18">
        <f t="shared" si="117"/>
        <v>28041.12413168704</v>
      </c>
      <c r="L32" s="18">
        <f t="shared" si="117"/>
        <v>28882.357855637652</v>
      </c>
      <c r="M32" s="18">
        <f t="shared" si="117"/>
        <v>29748.828591306781</v>
      </c>
      <c r="N32" s="18">
        <f t="shared" si="117"/>
        <v>30641.293449045985</v>
      </c>
      <c r="O32" s="18">
        <f t="shared" si="117"/>
        <v>31560.532252517365</v>
      </c>
      <c r="P32" s="18">
        <f t="shared" si="117"/>
        <v>32507.348220092888</v>
      </c>
      <c r="Q32" s="18">
        <f t="shared" si="117"/>
        <v>33482.568666695675</v>
      </c>
      <c r="R32" s="18">
        <f t="shared" si="117"/>
        <v>34487.045726696546</v>
      </c>
      <c r="S32" s="18">
        <f t="shared" si="117"/>
        <v>35521.657098497446</v>
      </c>
      <c r="T32" s="18">
        <f t="shared" si="117"/>
        <v>36587.30681145237</v>
      </c>
      <c r="U32" s="18">
        <f t="shared" ref="U32:U33" si="118">T32*1.03</f>
        <v>37684.926015795943</v>
      </c>
      <c r="V32" s="18">
        <f t="shared" ref="V32:V33" si="119">U32*1.03</f>
        <v>38815.47379626982</v>
      </c>
      <c r="W32" s="18">
        <f t="shared" ref="W32:W33" si="120">V32*1.03</f>
        <v>39979.938010157915</v>
      </c>
      <c r="X32" s="18">
        <f t="shared" ref="X32:X33" si="121">W32*1.03</f>
        <v>41179.336150462652</v>
      </c>
      <c r="Y32" s="18">
        <f t="shared" ref="Y32:Y33" si="122">X32*1.03</f>
        <v>42414.716234976535</v>
      </c>
      <c r="Z32" s="18">
        <f t="shared" ref="Z32:Z33" si="123">Y32*1.03</f>
        <v>43687.157722025833</v>
      </c>
      <c r="AA32" s="19">
        <f t="shared" si="38"/>
        <v>739925.74845621968</v>
      </c>
    </row>
    <row r="33" spans="1:27" s="20" customFormat="1">
      <c r="A33" s="47" t="s">
        <v>36</v>
      </c>
      <c r="B33" s="18"/>
      <c r="C33" s="18"/>
      <c r="D33" s="18">
        <v>7000</v>
      </c>
      <c r="E33" s="18">
        <v>7500</v>
      </c>
      <c r="F33" s="18">
        <v>8000</v>
      </c>
      <c r="G33" s="44">
        <f>F33*1.03</f>
        <v>8240</v>
      </c>
      <c r="H33" s="44">
        <f t="shared" ref="H33:K33" si="124">G33*1.03</f>
        <v>8487.2000000000007</v>
      </c>
      <c r="I33" s="44">
        <f t="shared" si="124"/>
        <v>8741.8160000000007</v>
      </c>
      <c r="J33" s="44">
        <f t="shared" si="124"/>
        <v>9004.0704800000003</v>
      </c>
      <c r="K33" s="44">
        <f t="shared" si="124"/>
        <v>9274.1925944000013</v>
      </c>
      <c r="L33" s="44">
        <f t="shared" si="117"/>
        <v>9552.4183722320013</v>
      </c>
      <c r="M33" s="44">
        <f t="shared" si="117"/>
        <v>9838.990923398962</v>
      </c>
      <c r="N33" s="44">
        <f t="shared" si="117"/>
        <v>10134.16065110093</v>
      </c>
      <c r="O33" s="44">
        <f t="shared" si="117"/>
        <v>10438.185470633958</v>
      </c>
      <c r="P33" s="44">
        <f t="shared" si="117"/>
        <v>10751.331034752977</v>
      </c>
      <c r="Q33" s="44">
        <f t="shared" si="117"/>
        <v>11073.870965795566</v>
      </c>
      <c r="R33" s="44">
        <f t="shared" si="117"/>
        <v>11406.087094769433</v>
      </c>
      <c r="S33" s="44">
        <f t="shared" si="117"/>
        <v>11748.269707612517</v>
      </c>
      <c r="T33" s="44">
        <f t="shared" si="117"/>
        <v>12100.717798840893</v>
      </c>
      <c r="U33" s="44">
        <f t="shared" si="118"/>
        <v>12463.739332806121</v>
      </c>
      <c r="V33" s="44">
        <f t="shared" si="119"/>
        <v>12837.651512790304</v>
      </c>
      <c r="W33" s="44">
        <f t="shared" si="120"/>
        <v>13222.781058174014</v>
      </c>
      <c r="X33" s="44">
        <f t="shared" si="121"/>
        <v>13619.464489919235</v>
      </c>
      <c r="Y33" s="44">
        <f t="shared" si="122"/>
        <v>14028.048424616813</v>
      </c>
      <c r="Z33" s="44">
        <f t="shared" si="123"/>
        <v>14448.889877355317</v>
      </c>
      <c r="AA33" s="19">
        <f t="shared" si="38"/>
        <v>243911.88578919898</v>
      </c>
    </row>
    <row r="34" spans="1:27" s="20" customFormat="1">
      <c r="A34" s="47" t="s">
        <v>42</v>
      </c>
      <c r="B34" s="18"/>
      <c r="C34" s="18"/>
      <c r="D34" s="18">
        <v>6000</v>
      </c>
      <c r="E34" s="18">
        <v>6000</v>
      </c>
      <c r="F34" s="18">
        <v>6000</v>
      </c>
      <c r="G34" s="18">
        <v>6000</v>
      </c>
      <c r="H34" s="18">
        <v>6000</v>
      </c>
      <c r="I34" s="18">
        <v>6000</v>
      </c>
      <c r="J34" s="18">
        <v>6000</v>
      </c>
      <c r="K34" s="18">
        <v>6000</v>
      </c>
      <c r="L34" s="18">
        <v>6000</v>
      </c>
      <c r="M34" s="18">
        <v>6000</v>
      </c>
      <c r="N34" s="18">
        <v>6000</v>
      </c>
      <c r="O34" s="18">
        <v>6000</v>
      </c>
      <c r="P34" s="18">
        <v>6000</v>
      </c>
      <c r="Q34" s="18">
        <v>6000</v>
      </c>
      <c r="R34" s="18">
        <v>6000</v>
      </c>
      <c r="S34" s="18">
        <v>6000</v>
      </c>
      <c r="T34" s="18">
        <v>6000</v>
      </c>
      <c r="U34" s="18">
        <v>6000</v>
      </c>
      <c r="V34" s="18">
        <v>6000</v>
      </c>
      <c r="W34" s="18">
        <v>6000</v>
      </c>
      <c r="X34" s="18">
        <v>6000</v>
      </c>
      <c r="Y34" s="18">
        <v>6000</v>
      </c>
      <c r="Z34" s="18">
        <v>6000</v>
      </c>
      <c r="AA34" s="19">
        <f t="shared" si="38"/>
        <v>138000</v>
      </c>
    </row>
    <row r="35" spans="1:27" s="20" customFormat="1">
      <c r="A35" s="47" t="s">
        <v>46</v>
      </c>
      <c r="B35" s="18"/>
      <c r="C35" s="18"/>
      <c r="D35" s="18">
        <v>7500</v>
      </c>
      <c r="E35" s="18">
        <f>D35*1.01</f>
        <v>7575</v>
      </c>
      <c r="F35" s="18">
        <f t="shared" ref="F35:T35" si="125">E35*1.01</f>
        <v>7650.75</v>
      </c>
      <c r="G35" s="18">
        <f t="shared" si="125"/>
        <v>7727.2574999999997</v>
      </c>
      <c r="H35" s="18">
        <f t="shared" si="125"/>
        <v>7804.5300749999997</v>
      </c>
      <c r="I35" s="18">
        <f t="shared" si="125"/>
        <v>7882.5753757499997</v>
      </c>
      <c r="J35" s="18">
        <f t="shared" si="125"/>
        <v>7961.4011295074997</v>
      </c>
      <c r="K35" s="18">
        <f t="shared" si="125"/>
        <v>8041.0151408025749</v>
      </c>
      <c r="L35" s="18">
        <f t="shared" si="125"/>
        <v>8121.4252922106007</v>
      </c>
      <c r="M35" s="18">
        <f t="shared" si="125"/>
        <v>8202.6395451327062</v>
      </c>
      <c r="N35" s="18">
        <f t="shared" si="125"/>
        <v>8284.6659405840328</v>
      </c>
      <c r="O35" s="18">
        <f t="shared" si="125"/>
        <v>8367.5125999898737</v>
      </c>
      <c r="P35" s="18">
        <f t="shared" si="125"/>
        <v>8451.1877259897719</v>
      </c>
      <c r="Q35" s="18">
        <f t="shared" si="125"/>
        <v>8535.69960324967</v>
      </c>
      <c r="R35" s="18">
        <f t="shared" si="125"/>
        <v>8621.0565992821666</v>
      </c>
      <c r="S35" s="18">
        <f t="shared" si="125"/>
        <v>8707.2671652749887</v>
      </c>
      <c r="T35" s="18">
        <f t="shared" si="125"/>
        <v>8794.3398369277384</v>
      </c>
      <c r="U35" s="18">
        <f t="shared" ref="U35" si="126">T35*1.01</f>
        <v>8882.2832352970163</v>
      </c>
      <c r="V35" s="18">
        <f t="shared" ref="V35" si="127">U35*1.01</f>
        <v>8971.1060676499874</v>
      </c>
      <c r="W35" s="18">
        <f t="shared" ref="W35" si="128">V35*1.01</f>
        <v>9060.8171283264874</v>
      </c>
      <c r="X35" s="18">
        <f t="shared" ref="X35" si="129">W35*1.01</f>
        <v>9151.425299609753</v>
      </c>
      <c r="Y35" s="18">
        <f t="shared" ref="Y35" si="130">X35*1.01</f>
        <v>9242.9395526058506</v>
      </c>
      <c r="Z35" s="18">
        <f t="shared" ref="Z35" si="131">Y35*1.01</f>
        <v>9335.3689481319088</v>
      </c>
      <c r="AA35" s="19">
        <f>SUM(B35:Z35)</f>
        <v>192872.26376132263</v>
      </c>
    </row>
    <row r="36" spans="1:27" s="20" customFormat="1">
      <c r="A36" s="47" t="s">
        <v>37</v>
      </c>
      <c r="B36" s="18"/>
      <c r="C36" s="18">
        <v>60000</v>
      </c>
      <c r="D36" s="18">
        <v>45000</v>
      </c>
      <c r="E36" s="18">
        <v>30000</v>
      </c>
      <c r="F36" s="18">
        <v>30000</v>
      </c>
      <c r="G36" s="18">
        <v>30000</v>
      </c>
      <c r="H36" s="18">
        <v>30000</v>
      </c>
      <c r="I36" s="18">
        <v>30000</v>
      </c>
      <c r="J36" s="18">
        <v>30000</v>
      </c>
      <c r="K36" s="18">
        <v>30000</v>
      </c>
      <c r="L36" s="18">
        <v>30000</v>
      </c>
      <c r="M36" s="18">
        <v>30000</v>
      </c>
      <c r="N36" s="18">
        <v>30000</v>
      </c>
      <c r="O36" s="18">
        <v>30000</v>
      </c>
      <c r="P36" s="18">
        <v>30000</v>
      </c>
      <c r="Q36" s="18">
        <v>30000</v>
      </c>
      <c r="R36" s="18">
        <v>30000</v>
      </c>
      <c r="S36" s="18">
        <v>30000</v>
      </c>
      <c r="T36" s="18">
        <v>30000</v>
      </c>
      <c r="U36" s="18">
        <v>30000</v>
      </c>
      <c r="V36" s="18">
        <v>30000</v>
      </c>
      <c r="W36" s="18">
        <v>30000</v>
      </c>
      <c r="X36" s="18">
        <v>30000</v>
      </c>
      <c r="Y36" s="18">
        <v>30000</v>
      </c>
      <c r="Z36" s="18">
        <v>30000</v>
      </c>
      <c r="AA36" s="19">
        <f t="shared" si="38"/>
        <v>765000</v>
      </c>
    </row>
    <row r="37" spans="1:27" s="20" customFormat="1">
      <c r="A37" s="47"/>
      <c r="B37" s="18"/>
      <c r="C37" s="18"/>
      <c r="D37" s="18"/>
      <c r="E37" s="18"/>
      <c r="F37" s="18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19"/>
    </row>
    <row r="38" spans="1:27" s="20" customFormat="1">
      <c r="A38" s="47" t="s">
        <v>34</v>
      </c>
      <c r="B38" s="18"/>
      <c r="C38" s="18"/>
      <c r="D38" s="18">
        <v>6000</v>
      </c>
      <c r="E38" s="18">
        <v>6000</v>
      </c>
      <c r="F38" s="18">
        <v>6000</v>
      </c>
      <c r="G38" s="18">
        <v>6000</v>
      </c>
      <c r="H38" s="18">
        <v>6000</v>
      </c>
      <c r="I38" s="18">
        <v>6000</v>
      </c>
      <c r="J38" s="18">
        <v>6000</v>
      </c>
      <c r="K38" s="18">
        <v>6000</v>
      </c>
      <c r="L38" s="18">
        <v>6000</v>
      </c>
      <c r="M38" s="18">
        <v>6000</v>
      </c>
      <c r="N38" s="18">
        <v>6000</v>
      </c>
      <c r="O38" s="18">
        <v>6000</v>
      </c>
      <c r="P38" s="18">
        <v>6000</v>
      </c>
      <c r="Q38" s="18">
        <v>6000</v>
      </c>
      <c r="R38" s="18">
        <v>6000</v>
      </c>
      <c r="S38" s="18">
        <v>6000</v>
      </c>
      <c r="T38" s="18">
        <v>6000</v>
      </c>
      <c r="U38" s="18">
        <v>6000</v>
      </c>
      <c r="V38" s="18">
        <v>6000</v>
      </c>
      <c r="W38" s="18">
        <v>6000</v>
      </c>
      <c r="X38" s="18">
        <v>6000</v>
      </c>
      <c r="Y38" s="18">
        <v>6000</v>
      </c>
      <c r="Z38" s="18">
        <v>6000</v>
      </c>
      <c r="AA38" s="19">
        <f t="shared" si="38"/>
        <v>138000</v>
      </c>
    </row>
    <row r="39" spans="1:27" s="20" customFormat="1">
      <c r="A39" s="47" t="s">
        <v>35</v>
      </c>
      <c r="B39" s="18"/>
      <c r="C39" s="18"/>
      <c r="D39" s="18">
        <v>8000</v>
      </c>
      <c r="E39" s="18">
        <v>8000</v>
      </c>
      <c r="F39" s="18">
        <v>8000</v>
      </c>
      <c r="G39" s="18">
        <v>8000</v>
      </c>
      <c r="H39" s="18">
        <v>8000</v>
      </c>
      <c r="I39" s="18">
        <v>8000</v>
      </c>
      <c r="J39" s="18">
        <v>8000</v>
      </c>
      <c r="K39" s="18">
        <v>8000</v>
      </c>
      <c r="L39" s="18">
        <v>8000</v>
      </c>
      <c r="M39" s="18">
        <v>8000</v>
      </c>
      <c r="N39" s="18">
        <v>8000</v>
      </c>
      <c r="O39" s="18">
        <v>8000</v>
      </c>
      <c r="P39" s="18">
        <v>8000</v>
      </c>
      <c r="Q39" s="18">
        <v>8000</v>
      </c>
      <c r="R39" s="18">
        <v>8000</v>
      </c>
      <c r="S39" s="18">
        <v>8000</v>
      </c>
      <c r="T39" s="18">
        <v>8000</v>
      </c>
      <c r="U39" s="18">
        <v>8000</v>
      </c>
      <c r="V39" s="18">
        <v>8000</v>
      </c>
      <c r="W39" s="18">
        <v>8000</v>
      </c>
      <c r="X39" s="18">
        <v>8000</v>
      </c>
      <c r="Y39" s="18">
        <v>8000</v>
      </c>
      <c r="Z39" s="18">
        <v>8000</v>
      </c>
      <c r="AA39" s="19">
        <f t="shared" si="38"/>
        <v>184000</v>
      </c>
    </row>
    <row r="40" spans="1:27" s="20" customFormat="1">
      <c r="A40" s="47" t="s">
        <v>44</v>
      </c>
      <c r="B40" s="18"/>
      <c r="C40" s="18"/>
      <c r="D40" s="18">
        <v>2000</v>
      </c>
      <c r="E40" s="18">
        <v>2000</v>
      </c>
      <c r="F40" s="18">
        <v>2000</v>
      </c>
      <c r="G40" s="18">
        <v>2000</v>
      </c>
      <c r="H40" s="18">
        <v>2000</v>
      </c>
      <c r="I40" s="18">
        <v>2000</v>
      </c>
      <c r="J40" s="18">
        <v>2000</v>
      </c>
      <c r="K40" s="18">
        <v>2000</v>
      </c>
      <c r="L40" s="18">
        <v>2000</v>
      </c>
      <c r="M40" s="18">
        <v>2000</v>
      </c>
      <c r="N40" s="18">
        <v>2000</v>
      </c>
      <c r="O40" s="18">
        <v>2000</v>
      </c>
      <c r="P40" s="18">
        <v>2000</v>
      </c>
      <c r="Q40" s="18">
        <v>2000</v>
      </c>
      <c r="R40" s="18">
        <v>2000</v>
      </c>
      <c r="S40" s="18">
        <v>2000</v>
      </c>
      <c r="T40" s="18">
        <v>2000</v>
      </c>
      <c r="U40" s="18">
        <v>2000</v>
      </c>
      <c r="V40" s="18">
        <v>2000</v>
      </c>
      <c r="W40" s="18">
        <v>2000</v>
      </c>
      <c r="X40" s="18">
        <v>2000</v>
      </c>
      <c r="Y40" s="18">
        <v>2000</v>
      </c>
      <c r="Z40" s="18">
        <v>2000</v>
      </c>
      <c r="AA40" s="19">
        <f t="shared" si="38"/>
        <v>46000</v>
      </c>
    </row>
    <row r="41" spans="1:27" s="20" customFormat="1">
      <c r="A41" s="47" t="s">
        <v>45</v>
      </c>
      <c r="B41" s="18"/>
      <c r="C41" s="18"/>
      <c r="D41" s="18">
        <v>12000</v>
      </c>
      <c r="E41" s="18">
        <v>12000</v>
      </c>
      <c r="F41" s="18">
        <v>12000</v>
      </c>
      <c r="G41" s="18">
        <v>12000</v>
      </c>
      <c r="H41" s="18">
        <v>12000</v>
      </c>
      <c r="I41" s="18">
        <v>12000</v>
      </c>
      <c r="J41" s="18">
        <v>12000</v>
      </c>
      <c r="K41" s="18">
        <v>12000</v>
      </c>
      <c r="L41" s="18">
        <v>12000</v>
      </c>
      <c r="M41" s="18">
        <v>12000</v>
      </c>
      <c r="N41" s="18">
        <v>12000</v>
      </c>
      <c r="O41" s="18">
        <v>12000</v>
      </c>
      <c r="P41" s="18">
        <v>12000</v>
      </c>
      <c r="Q41" s="18">
        <v>12000</v>
      </c>
      <c r="R41" s="18">
        <v>12000</v>
      </c>
      <c r="S41" s="18">
        <v>12000</v>
      </c>
      <c r="T41" s="18">
        <v>12000</v>
      </c>
      <c r="U41" s="18">
        <v>12000</v>
      </c>
      <c r="V41" s="18">
        <v>12000</v>
      </c>
      <c r="W41" s="18">
        <v>12000</v>
      </c>
      <c r="X41" s="18">
        <v>12000</v>
      </c>
      <c r="Y41" s="18">
        <v>12000</v>
      </c>
      <c r="Z41" s="18">
        <v>12000</v>
      </c>
      <c r="AA41" s="19">
        <f t="shared" si="38"/>
        <v>276000</v>
      </c>
    </row>
    <row r="42" spans="1:27" s="20" customFormat="1">
      <c r="A42" s="47"/>
      <c r="B42" s="18"/>
      <c r="C42" s="18"/>
      <c r="D42" s="18"/>
      <c r="E42" s="18"/>
      <c r="F42" s="18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19"/>
    </row>
    <row r="43" spans="1:27" s="20" customFormat="1">
      <c r="A43" s="47" t="s">
        <v>54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19">
        <f t="shared" si="38"/>
        <v>0</v>
      </c>
    </row>
    <row r="44" spans="1:27" s="20" customFormat="1">
      <c r="A44" s="17"/>
      <c r="B44" s="18"/>
      <c r="C44" s="18"/>
      <c r="D44" s="18"/>
      <c r="E44" s="18"/>
      <c r="F44" s="18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19">
        <f t="shared" si="38"/>
        <v>0</v>
      </c>
    </row>
    <row r="45" spans="1:27" s="25" customFormat="1" ht="24">
      <c r="A45" s="23" t="s">
        <v>6</v>
      </c>
      <c r="B45" s="26">
        <f t="shared" ref="B45:Z45" si="132">SUM(B18:B44)</f>
        <v>0</v>
      </c>
      <c r="C45" s="26">
        <f t="shared" si="132"/>
        <v>81520</v>
      </c>
      <c r="D45" s="26">
        <f t="shared" si="132"/>
        <v>464372</v>
      </c>
      <c r="E45" s="26">
        <f t="shared" si="132"/>
        <v>516902.83999999997</v>
      </c>
      <c r="F45" s="26">
        <f t="shared" si="132"/>
        <v>580483.2868</v>
      </c>
      <c r="G45" s="26">
        <f t="shared" si="132"/>
        <v>588925.12723600003</v>
      </c>
      <c r="H45" s="26">
        <f t="shared" si="132"/>
        <v>597597.33093171997</v>
      </c>
      <c r="I45" s="26">
        <f t="shared" si="132"/>
        <v>609386.40512798436</v>
      </c>
      <c r="J45" s="26">
        <f t="shared" si="132"/>
        <v>621462.24573432398</v>
      </c>
      <c r="K45" s="26">
        <f t="shared" si="132"/>
        <v>633832.39091262501</v>
      </c>
      <c r="L45" s="26">
        <f t="shared" si="132"/>
        <v>646504.58854887728</v>
      </c>
      <c r="M45" s="26">
        <f t="shared" si="132"/>
        <v>659486.80232396105</v>
      </c>
      <c r="N45" s="26">
        <f t="shared" si="132"/>
        <v>672787.21796515677</v>
      </c>
      <c r="O45" s="26">
        <f t="shared" si="132"/>
        <v>686414.24968387384</v>
      </c>
      <c r="P45" s="26">
        <f t="shared" si="132"/>
        <v>700376.54680526361</v>
      </c>
      <c r="Q45" s="26">
        <f t="shared" si="132"/>
        <v>714683.00059556111</v>
      </c>
      <c r="R45" s="26">
        <f t="shared" si="132"/>
        <v>729342.75129316992</v>
      </c>
      <c r="S45" s="26">
        <f t="shared" si="132"/>
        <v>744365.19534970843</v>
      </c>
      <c r="T45" s="26">
        <f t="shared" si="132"/>
        <v>759759.9928874129</v>
      </c>
      <c r="U45" s="26">
        <f t="shared" si="132"/>
        <v>775537.07537950028</v>
      </c>
      <c r="V45" s="26">
        <f t="shared" si="132"/>
        <v>791706.65356029384</v>
      </c>
      <c r="W45" s="26">
        <f t="shared" si="132"/>
        <v>808279.22557213006</v>
      </c>
      <c r="X45" s="26">
        <f t="shared" si="132"/>
        <v>825265.58535628323</v>
      </c>
      <c r="Y45" s="26">
        <f t="shared" si="132"/>
        <v>842676.83129536221</v>
      </c>
      <c r="Z45" s="26">
        <f t="shared" si="132"/>
        <v>860524.37511487771</v>
      </c>
      <c r="AA45" s="19">
        <f t="shared" si="38"/>
        <v>15912191.718474083</v>
      </c>
    </row>
    <row r="46" spans="1:27" s="25" customFormat="1" ht="13" thickBot="1">
      <c r="A46" s="27" t="s">
        <v>7</v>
      </c>
      <c r="B46" s="28">
        <f t="shared" ref="B46:Z46" si="133">B16-B45</f>
        <v>0</v>
      </c>
      <c r="C46" s="28">
        <f t="shared" si="133"/>
        <v>-81520</v>
      </c>
      <c r="D46" s="28">
        <f t="shared" si="133"/>
        <v>-41372</v>
      </c>
      <c r="E46" s="28">
        <f t="shared" si="133"/>
        <v>-30202.839999999967</v>
      </c>
      <c r="F46" s="28">
        <f t="shared" si="133"/>
        <v>-32868.486799999955</v>
      </c>
      <c r="G46" s="28">
        <f t="shared" si="133"/>
        <v>-22790.03123600001</v>
      </c>
      <c r="H46" s="28">
        <f t="shared" si="133"/>
        <v>4306.1669882800197</v>
      </c>
      <c r="I46" s="28">
        <f t="shared" si="133"/>
        <v>8588.8657504155999</v>
      </c>
      <c r="J46" s="28">
        <f t="shared" si="133"/>
        <v>13092.772331644082</v>
      </c>
      <c r="K46" s="28">
        <f t="shared" si="133"/>
        <v>17827.285324962344</v>
      </c>
      <c r="L46" s="28">
        <f t="shared" si="133"/>
        <v>-37197.817103241105</v>
      </c>
      <c r="M46" s="28">
        <f t="shared" si="133"/>
        <v>-31972.362091380754</v>
      </c>
      <c r="N46" s="28">
        <f t="shared" si="133"/>
        <v>-26485.766359947622</v>
      </c>
      <c r="O46" s="28">
        <f t="shared" si="133"/>
        <v>-20727.019863970694</v>
      </c>
      <c r="P46" s="28">
        <f t="shared" si="133"/>
        <v>-14684.668795818812</v>
      </c>
      <c r="Q46" s="28">
        <f t="shared" si="133"/>
        <v>-8346.7979125104612</v>
      </c>
      <c r="R46" s="28">
        <f t="shared" si="133"/>
        <v>-1701.0121606605826</v>
      </c>
      <c r="S46" s="28">
        <f t="shared" si="133"/>
        <v>5265.5824288602453</v>
      </c>
      <c r="T46" s="28">
        <f t="shared" si="133"/>
        <v>12566.398605605355</v>
      </c>
      <c r="U46" s="28">
        <f t="shared" si="133"/>
        <v>20215.388553772471</v>
      </c>
      <c r="V46" s="28">
        <f t="shared" si="133"/>
        <v>28227.065367369913</v>
      </c>
      <c r="W46" s="28">
        <f t="shared" si="133"/>
        <v>36616.525378984748</v>
      </c>
      <c r="X46" s="28">
        <f t="shared" si="133"/>
        <v>45399.471376106841</v>
      </c>
      <c r="Y46" s="28">
        <f t="shared" si="133"/>
        <v>54592.236740324879</v>
      </c>
      <c r="Z46" s="28">
        <f t="shared" si="133"/>
        <v>64211.810546101537</v>
      </c>
      <c r="AA46" s="19">
        <f t="shared" si="38"/>
        <v>-38959.232931101928</v>
      </c>
    </row>
    <row r="47" spans="1:27">
      <c r="AA47" s="19"/>
    </row>
    <row r="48" spans="1:27" ht="15" thickBot="1">
      <c r="A48" s="29" t="s">
        <v>8</v>
      </c>
      <c r="AA48" s="19"/>
    </row>
    <row r="49" spans="1:27">
      <c r="A49" s="30" t="s">
        <v>9</v>
      </c>
      <c r="B49" s="31">
        <v>0.04</v>
      </c>
      <c r="C49" s="31">
        <v>0.04</v>
      </c>
      <c r="D49" s="31">
        <v>0.04</v>
      </c>
      <c r="E49" s="31">
        <v>0.04</v>
      </c>
      <c r="F49" s="31">
        <v>0.04</v>
      </c>
      <c r="G49" s="31">
        <v>0.04</v>
      </c>
      <c r="H49" s="31">
        <v>0.04</v>
      </c>
      <c r="I49" s="31">
        <v>0.04</v>
      </c>
      <c r="J49" s="31">
        <v>0.04</v>
      </c>
      <c r="K49" s="31">
        <v>0.04</v>
      </c>
      <c r="L49" s="31">
        <v>0.04</v>
      </c>
      <c r="M49" s="31">
        <v>0.04</v>
      </c>
      <c r="N49" s="31">
        <v>0.04</v>
      </c>
      <c r="O49" s="31">
        <v>0.04</v>
      </c>
      <c r="P49" s="31">
        <v>0.04</v>
      </c>
      <c r="Q49" s="31">
        <v>0.04</v>
      </c>
      <c r="R49" s="31">
        <v>0.04</v>
      </c>
      <c r="S49" s="31">
        <v>0.04</v>
      </c>
      <c r="T49" s="31">
        <v>0.04</v>
      </c>
      <c r="U49" s="31">
        <v>0.04</v>
      </c>
      <c r="V49" s="31">
        <v>0.04</v>
      </c>
      <c r="W49" s="31">
        <v>0.04</v>
      </c>
      <c r="X49" s="31">
        <v>0.04</v>
      </c>
      <c r="Y49" s="31">
        <v>0.04</v>
      </c>
      <c r="Z49" s="31">
        <v>0.04</v>
      </c>
      <c r="AA49" s="19"/>
    </row>
    <row r="50" spans="1:27" ht="15" thickBot="1">
      <c r="A50" s="32" t="s">
        <v>10</v>
      </c>
      <c r="B50" s="33">
        <f t="shared" ref="B50:Z50" si="134">B46/POWER((1+B49),(B7-1))</f>
        <v>0</v>
      </c>
      <c r="C50" s="33">
        <f t="shared" si="134"/>
        <v>-78384.615384615376</v>
      </c>
      <c r="D50" s="33">
        <f t="shared" si="134"/>
        <v>-38250.73964497041</v>
      </c>
      <c r="E50" s="33">
        <f t="shared" si="134"/>
        <v>-26850.214781520222</v>
      </c>
      <c r="F50" s="33">
        <f t="shared" si="134"/>
        <v>-28096.120269445179</v>
      </c>
      <c r="G50" s="33">
        <f t="shared" si="134"/>
        <v>-18731.744436760735</v>
      </c>
      <c r="H50" s="33">
        <f t="shared" si="134"/>
        <v>3403.2263210573337</v>
      </c>
      <c r="I50" s="33">
        <f t="shared" si="134"/>
        <v>6526.8320789419204</v>
      </c>
      <c r="J50" s="33">
        <f t="shared" si="134"/>
        <v>9566.7604990533164</v>
      </c>
      <c r="K50" s="33">
        <f t="shared" si="134"/>
        <v>12525.214200697683</v>
      </c>
      <c r="L50" s="33">
        <f t="shared" si="134"/>
        <v>-25129.512393485151</v>
      </c>
      <c r="M50" s="33">
        <f t="shared" si="134"/>
        <v>-20768.636751597223</v>
      </c>
      <c r="N50" s="33">
        <f t="shared" si="134"/>
        <v>-16542.931524290227</v>
      </c>
      <c r="O50" s="33">
        <f t="shared" si="134"/>
        <v>-12448.111013099518</v>
      </c>
      <c r="P50" s="33">
        <f t="shared" si="134"/>
        <v>-8480.0303290762549</v>
      </c>
      <c r="Q50" s="33">
        <f t="shared" si="134"/>
        <v>-4634.6805921383211</v>
      </c>
      <c r="R50" s="33">
        <f t="shared" si="134"/>
        <v>-908.18429951772248</v>
      </c>
      <c r="S50" s="33">
        <f t="shared" si="134"/>
        <v>2703.2091428040321</v>
      </c>
      <c r="T50" s="33">
        <f t="shared" si="134"/>
        <v>6203.127731564211</v>
      </c>
      <c r="U50" s="33">
        <f t="shared" si="134"/>
        <v>9595.0810262619234</v>
      </c>
      <c r="V50" s="33">
        <f t="shared" si="134"/>
        <v>12882.464163238206</v>
      </c>
      <c r="W50" s="33">
        <f t="shared" si="134"/>
        <v>16068.561729054763</v>
      </c>
      <c r="X50" s="33">
        <f t="shared" si="134"/>
        <v>19156.551498238136</v>
      </c>
      <c r="Y50" s="33">
        <f t="shared" si="134"/>
        <v>22149.508040274068</v>
      </c>
      <c r="Z50" s="33">
        <f t="shared" si="134"/>
        <v>25050.406200550598</v>
      </c>
      <c r="AA50" s="19">
        <f>SUM(B50:Z50)</f>
        <v>-133394.57878878014</v>
      </c>
    </row>
    <row r="51" spans="1:27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5"/>
    </row>
    <row r="53" spans="1:27" ht="17">
      <c r="A53" s="6" t="s">
        <v>11</v>
      </c>
    </row>
    <row r="54" spans="1:27" ht="18" thickBot="1">
      <c r="A54" s="6"/>
    </row>
    <row r="55" spans="1:27" s="11" customFormat="1" ht="12">
      <c r="A55" s="14"/>
      <c r="B55" s="34">
        <v>2014</v>
      </c>
      <c r="C55" s="35">
        <f>B55+1</f>
        <v>2015</v>
      </c>
      <c r="D55" s="15">
        <f>C55+1</f>
        <v>2016</v>
      </c>
      <c r="E55" s="15">
        <f t="shared" ref="E55:F55" si="135">D55+1</f>
        <v>2017</v>
      </c>
      <c r="F55" s="15">
        <f t="shared" si="135"/>
        <v>2018</v>
      </c>
      <c r="G55" s="15">
        <f t="shared" ref="G55" si="136">F55+1</f>
        <v>2019</v>
      </c>
      <c r="H55" s="15">
        <f t="shared" ref="H55" si="137">G55+1</f>
        <v>2020</v>
      </c>
      <c r="I55" s="15">
        <f t="shared" ref="I55" si="138">H55+1</f>
        <v>2021</v>
      </c>
      <c r="J55" s="15">
        <f t="shared" ref="J55" si="139">I55+1</f>
        <v>2022</v>
      </c>
      <c r="K55" s="15">
        <f t="shared" ref="K55" si="140">J55+1</f>
        <v>2023</v>
      </c>
      <c r="L55" s="15">
        <f t="shared" ref="L55" si="141">K55+1</f>
        <v>2024</v>
      </c>
      <c r="M55" s="15">
        <f t="shared" ref="M55" si="142">L55+1</f>
        <v>2025</v>
      </c>
      <c r="N55" s="15">
        <f t="shared" ref="N55" si="143">M55+1</f>
        <v>2026</v>
      </c>
      <c r="O55" s="15">
        <f t="shared" ref="O55" si="144">N55+1</f>
        <v>2027</v>
      </c>
      <c r="P55" s="15">
        <f t="shared" ref="P55" si="145">O55+1</f>
        <v>2028</v>
      </c>
      <c r="Q55" s="15">
        <f t="shared" ref="Q55" si="146">P55+1</f>
        <v>2029</v>
      </c>
      <c r="R55" s="15">
        <f t="shared" ref="R55" si="147">Q55+1</f>
        <v>2030</v>
      </c>
      <c r="S55" s="15">
        <f t="shared" ref="S55" si="148">R55+1</f>
        <v>2031</v>
      </c>
      <c r="T55" s="15">
        <f t="shared" ref="T55" si="149">S55+1</f>
        <v>2032</v>
      </c>
      <c r="U55" s="15">
        <f t="shared" ref="U55" si="150">T55+1</f>
        <v>2033</v>
      </c>
      <c r="V55" s="15">
        <f t="shared" ref="V55" si="151">U55+1</f>
        <v>2034</v>
      </c>
      <c r="W55" s="15">
        <f t="shared" ref="W55" si="152">V55+1</f>
        <v>2035</v>
      </c>
      <c r="X55" s="15">
        <f t="shared" ref="X55" si="153">W55+1</f>
        <v>2036</v>
      </c>
      <c r="Y55" s="15">
        <f t="shared" ref="Y55" si="154">X55+1</f>
        <v>2037</v>
      </c>
      <c r="Z55" s="54">
        <f t="shared" ref="Z55" si="155">Y55+1</f>
        <v>2038</v>
      </c>
      <c r="AA55" s="52"/>
    </row>
    <row r="56" spans="1:27" s="20" customFormat="1" ht="15" thickBot="1">
      <c r="A56" s="27" t="s">
        <v>11</v>
      </c>
      <c r="B56" s="36"/>
      <c r="C56" s="36">
        <v>2700000</v>
      </c>
      <c r="D56" s="36">
        <v>200000</v>
      </c>
      <c r="E56" s="36">
        <v>100000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7">
      <c r="B57" s="13"/>
    </row>
    <row r="58" spans="1:27" ht="15" thickBot="1">
      <c r="A58" s="29" t="s">
        <v>12</v>
      </c>
      <c r="B58" s="29"/>
      <c r="AA58" s="25"/>
    </row>
    <row r="59" spans="1:27">
      <c r="A59" s="30" t="s">
        <v>9</v>
      </c>
      <c r="B59" s="37">
        <v>0.04</v>
      </c>
      <c r="C59" s="31">
        <v>0.04</v>
      </c>
      <c r="D59" s="31">
        <v>0.04</v>
      </c>
      <c r="E59" s="31">
        <v>0.04</v>
      </c>
      <c r="F59" s="31">
        <v>0.04</v>
      </c>
      <c r="G59" s="31">
        <v>0.04</v>
      </c>
      <c r="H59" s="31">
        <v>0.04</v>
      </c>
      <c r="I59" s="31">
        <v>0.04</v>
      </c>
      <c r="J59" s="31">
        <v>0.04</v>
      </c>
      <c r="K59" s="31">
        <v>0.04</v>
      </c>
      <c r="L59" s="31">
        <v>0.04</v>
      </c>
      <c r="M59" s="31">
        <v>0.04</v>
      </c>
      <c r="N59" s="31">
        <v>0.04</v>
      </c>
      <c r="O59" s="31">
        <v>0.04</v>
      </c>
      <c r="P59" s="31">
        <v>0.04</v>
      </c>
      <c r="Q59" s="31">
        <v>0.04</v>
      </c>
      <c r="R59" s="31">
        <v>0.04</v>
      </c>
      <c r="S59" s="31">
        <v>0.04</v>
      </c>
      <c r="T59" s="31">
        <v>0.04</v>
      </c>
      <c r="U59" s="31">
        <v>0.04</v>
      </c>
      <c r="V59" s="31">
        <v>0.04</v>
      </c>
      <c r="W59" s="31">
        <v>0.04</v>
      </c>
      <c r="X59" s="31">
        <v>0.04</v>
      </c>
      <c r="Y59" s="31">
        <v>0.04</v>
      </c>
      <c r="Z59" s="31">
        <v>0.04</v>
      </c>
      <c r="AA59"/>
    </row>
    <row r="60" spans="1:27" ht="15" thickBot="1">
      <c r="A60" s="32" t="s">
        <v>13</v>
      </c>
      <c r="B60" s="33">
        <f>B56/POWER((1+B59),(B$7-1))</f>
        <v>0</v>
      </c>
      <c r="C60" s="33">
        <f t="shared" ref="C60:K60" si="156">C56/POWER((1+C59),(C$7-1))</f>
        <v>2596153.846153846</v>
      </c>
      <c r="D60" s="33">
        <f t="shared" si="156"/>
        <v>184911.24260355029</v>
      </c>
      <c r="E60" s="33">
        <f t="shared" si="156"/>
        <v>88899.635867091478</v>
      </c>
      <c r="F60" s="33">
        <f t="shared" si="156"/>
        <v>0</v>
      </c>
      <c r="G60" s="33">
        <f t="shared" si="156"/>
        <v>0</v>
      </c>
      <c r="H60" s="33">
        <f t="shared" si="156"/>
        <v>0</v>
      </c>
      <c r="I60" s="33">
        <f t="shared" si="156"/>
        <v>0</v>
      </c>
      <c r="J60" s="33">
        <f t="shared" si="156"/>
        <v>0</v>
      </c>
      <c r="K60" s="33">
        <f t="shared" si="156"/>
        <v>0</v>
      </c>
      <c r="L60" s="33">
        <f t="shared" ref="L60:Z60" si="157">K56/POWER((1+K59),(K$7-1))</f>
        <v>0</v>
      </c>
      <c r="M60" s="33">
        <f t="shared" si="157"/>
        <v>0</v>
      </c>
      <c r="N60" s="33">
        <f t="shared" si="157"/>
        <v>0</v>
      </c>
      <c r="O60" s="33">
        <f t="shared" si="157"/>
        <v>0</v>
      </c>
      <c r="P60" s="33">
        <f t="shared" si="157"/>
        <v>0</v>
      </c>
      <c r="Q60" s="33">
        <f t="shared" si="157"/>
        <v>0</v>
      </c>
      <c r="R60" s="33">
        <f t="shared" si="157"/>
        <v>0</v>
      </c>
      <c r="S60" s="33">
        <f t="shared" si="157"/>
        <v>0</v>
      </c>
      <c r="T60" s="33">
        <f t="shared" si="157"/>
        <v>0</v>
      </c>
      <c r="U60" s="33">
        <f t="shared" si="157"/>
        <v>0</v>
      </c>
      <c r="V60" s="33">
        <f t="shared" si="157"/>
        <v>0</v>
      </c>
      <c r="W60" s="33">
        <f t="shared" si="157"/>
        <v>0</v>
      </c>
      <c r="X60" s="33">
        <f t="shared" si="157"/>
        <v>0</v>
      </c>
      <c r="Y60" s="33">
        <f t="shared" si="157"/>
        <v>0</v>
      </c>
      <c r="Z60" s="33">
        <f t="shared" si="157"/>
        <v>0</v>
      </c>
      <c r="AA60"/>
    </row>
    <row r="61" spans="1:27">
      <c r="B61" s="13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5"/>
    </row>
    <row r="62" spans="1:27">
      <c r="B62" s="13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7" ht="17">
      <c r="A63" s="6" t="s">
        <v>14</v>
      </c>
      <c r="B63" s="6"/>
    </row>
    <row r="64" spans="1:27" ht="18" thickBot="1">
      <c r="A64" s="6"/>
      <c r="B64" s="6"/>
    </row>
    <row r="65" spans="1:27" s="11" customFormat="1" ht="12">
      <c r="A65" s="14"/>
      <c r="B65" s="34">
        <v>2014</v>
      </c>
      <c r="C65" s="35">
        <f>B65+1</f>
        <v>2015</v>
      </c>
      <c r="D65" s="15">
        <f>C65+1</f>
        <v>2016</v>
      </c>
      <c r="E65" s="15">
        <f t="shared" ref="E65:F65" si="158">D65+1</f>
        <v>2017</v>
      </c>
      <c r="F65" s="15">
        <f t="shared" si="158"/>
        <v>2018</v>
      </c>
      <c r="G65" s="15">
        <f t="shared" ref="G65" si="159">F65+1</f>
        <v>2019</v>
      </c>
      <c r="H65" s="15">
        <f t="shared" ref="H65" si="160">G65+1</f>
        <v>2020</v>
      </c>
      <c r="I65" s="15">
        <f t="shared" ref="I65" si="161">H65+1</f>
        <v>2021</v>
      </c>
      <c r="J65" s="15">
        <f t="shared" ref="J65" si="162">I65+1</f>
        <v>2022</v>
      </c>
      <c r="K65" s="15">
        <f t="shared" ref="K65" si="163">J65+1</f>
        <v>2023</v>
      </c>
      <c r="L65" s="15">
        <f t="shared" ref="L65" si="164">K65+1</f>
        <v>2024</v>
      </c>
      <c r="M65" s="15">
        <f t="shared" ref="M65" si="165">L65+1</f>
        <v>2025</v>
      </c>
      <c r="N65" s="15">
        <f t="shared" ref="N65" si="166">M65+1</f>
        <v>2026</v>
      </c>
      <c r="O65" s="15">
        <f t="shared" ref="O65" si="167">N65+1</f>
        <v>2027</v>
      </c>
      <c r="P65" s="15">
        <f t="shared" ref="P65" si="168">O65+1</f>
        <v>2028</v>
      </c>
      <c r="Q65" s="15">
        <f t="shared" ref="Q65" si="169">P65+1</f>
        <v>2029</v>
      </c>
      <c r="R65" s="15">
        <f t="shared" ref="R65" si="170">Q65+1</f>
        <v>2030</v>
      </c>
      <c r="S65" s="15">
        <f t="shared" ref="S65" si="171">R65+1</f>
        <v>2031</v>
      </c>
      <c r="T65" s="15">
        <f t="shared" ref="T65" si="172">S65+1</f>
        <v>2032</v>
      </c>
      <c r="U65" s="15">
        <f t="shared" ref="U65" si="173">T65+1</f>
        <v>2033</v>
      </c>
      <c r="V65" s="15">
        <f t="shared" ref="V65" si="174">U65+1</f>
        <v>2034</v>
      </c>
      <c r="W65" s="15">
        <f t="shared" ref="W65" si="175">V65+1</f>
        <v>2035</v>
      </c>
      <c r="X65" s="15">
        <f t="shared" ref="X65" si="176">W65+1</f>
        <v>2036</v>
      </c>
      <c r="Y65" s="15">
        <f t="shared" ref="Y65" si="177">X65+1</f>
        <v>2037</v>
      </c>
      <c r="Z65" s="15">
        <f t="shared" ref="Z65" si="178">Y65+1</f>
        <v>2038</v>
      </c>
    </row>
    <row r="66" spans="1:27" s="20" customFormat="1" ht="15" thickBot="1">
      <c r="A66" s="27" t="s">
        <v>15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7">
      <c r="B67" s="13"/>
    </row>
    <row r="68" spans="1:27" ht="15" thickBot="1">
      <c r="A68" s="29" t="s">
        <v>16</v>
      </c>
      <c r="B68" s="29"/>
      <c r="AA68" s="25"/>
    </row>
    <row r="69" spans="1:27">
      <c r="A69" s="30" t="s">
        <v>9</v>
      </c>
      <c r="B69" s="37">
        <v>0.04</v>
      </c>
      <c r="C69" s="37">
        <v>0.04</v>
      </c>
      <c r="D69" s="37">
        <v>0.04</v>
      </c>
      <c r="E69" s="37">
        <v>0.04</v>
      </c>
      <c r="F69" s="37">
        <v>0.04</v>
      </c>
      <c r="G69" s="37">
        <v>0.04</v>
      </c>
      <c r="H69" s="37">
        <v>0.04</v>
      </c>
      <c r="I69" s="37">
        <v>0.04</v>
      </c>
      <c r="J69" s="37">
        <v>0.04</v>
      </c>
      <c r="K69" s="37">
        <v>0.04</v>
      </c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/>
    </row>
    <row r="70" spans="1:27" ht="15" thickBot="1">
      <c r="A70" s="32" t="s">
        <v>17</v>
      </c>
      <c r="B70" s="33">
        <f>B66/POWER((1+B69),(B$7-1))</f>
        <v>0</v>
      </c>
      <c r="C70" s="33">
        <f t="shared" ref="C70:K70" si="179">C66/POWER((1+C69),(C$7-1))</f>
        <v>0</v>
      </c>
      <c r="D70" s="33">
        <f t="shared" si="179"/>
        <v>0</v>
      </c>
      <c r="E70" s="33">
        <f t="shared" si="179"/>
        <v>0</v>
      </c>
      <c r="F70" s="33">
        <f t="shared" si="179"/>
        <v>0</v>
      </c>
      <c r="G70" s="33">
        <f t="shared" si="179"/>
        <v>0</v>
      </c>
      <c r="H70" s="33">
        <f t="shared" si="179"/>
        <v>0</v>
      </c>
      <c r="I70" s="33">
        <f t="shared" si="179"/>
        <v>0</v>
      </c>
      <c r="J70" s="33">
        <f t="shared" si="179"/>
        <v>0</v>
      </c>
      <c r="K70" s="33">
        <f t="shared" si="179"/>
        <v>0</v>
      </c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/>
    </row>
    <row r="71" spans="1:27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/>
    </row>
    <row r="72" spans="1:27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/>
    </row>
    <row r="73" spans="1:27" ht="42.75" customHeight="1" thickBot="1">
      <c r="A73" s="6" t="s">
        <v>18</v>
      </c>
      <c r="AA73"/>
    </row>
    <row r="74" spans="1:27" ht="15" thickBot="1">
      <c r="B74" s="38"/>
      <c r="C74" s="39"/>
      <c r="D74" s="40"/>
      <c r="AA74"/>
    </row>
    <row r="75" spans="1:27">
      <c r="A75"/>
      <c r="AA75"/>
    </row>
    <row r="76" spans="1:27">
      <c r="A76"/>
      <c r="D76" s="41"/>
      <c r="AA76"/>
    </row>
  </sheetData>
  <mergeCells count="1">
    <mergeCell ref="A1:F1"/>
  </mergeCells>
  <phoneticPr fontId="14" type="noConversion"/>
  <pageMargins left="0.70000000000000007" right="0.70000000000000007" top="0.75000000000000011" bottom="0.75000000000000011" header="0.30000000000000004" footer="0.30000000000000004"/>
  <pageSetup paperSize="9" scale="57" orientation="landscape"/>
  <rowBreaks count="1" manualBreakCount="1">
    <brk id="50" max="16383" man="1"/>
  </rowBreaks>
  <colBreaks count="2" manualBreakCount="2">
    <brk id="11" max="1048575" man="1"/>
    <brk id="2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4" sqref="A4:H5"/>
    </sheetView>
  </sheetViews>
  <sheetFormatPr baseColWidth="10" defaultColWidth="8.83203125" defaultRowHeight="14" x14ac:dyDescent="0"/>
  <cols>
    <col min="1" max="1" width="32.5" bestFit="1" customWidth="1"/>
    <col min="2" max="2" width="38.33203125" bestFit="1" customWidth="1"/>
  </cols>
  <sheetData>
    <row r="1" spans="1:3">
      <c r="A1" s="42" t="s">
        <v>26</v>
      </c>
    </row>
    <row r="2" spans="1:3">
      <c r="A2" t="s">
        <v>25</v>
      </c>
      <c r="B2" t="s">
        <v>23</v>
      </c>
      <c r="C2" t="s">
        <v>27</v>
      </c>
    </row>
    <row r="3" spans="1:3">
      <c r="A3" t="s">
        <v>24</v>
      </c>
      <c r="B3" t="s">
        <v>23</v>
      </c>
      <c r="C3" t="s">
        <v>28</v>
      </c>
    </row>
    <row r="4" spans="1:3">
      <c r="A4" t="s">
        <v>22</v>
      </c>
      <c r="B4" t="s">
        <v>21</v>
      </c>
      <c r="C4" t="s">
        <v>29</v>
      </c>
    </row>
    <row r="5" spans="1:3">
      <c r="A5" t="s">
        <v>20</v>
      </c>
      <c r="B5" t="s">
        <v>19</v>
      </c>
      <c r="C5" t="s">
        <v>30</v>
      </c>
    </row>
  </sheetData>
  <phoneticPr fontId="14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</vt:lpstr>
      <vt:lpstr>Définitions</vt:lpstr>
    </vt:vector>
  </TitlesOfParts>
  <Company>MRBC-MBHG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Raphaël Parate</dc:creator>
  <cp:lastModifiedBy>Helke Smet</cp:lastModifiedBy>
  <cp:lastPrinted>2014-07-25T09:47:53Z</cp:lastPrinted>
  <dcterms:created xsi:type="dcterms:W3CDTF">2014-05-28T08:16:56Z</dcterms:created>
  <dcterms:modified xsi:type="dcterms:W3CDTF">2014-07-25T09:54:54Z</dcterms:modified>
</cp:coreProperties>
</file>